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inances and Resource Mobilisation\Crystal Reports\Crystal Reports for Distribution\"/>
    </mc:Choice>
  </mc:AlternateContent>
  <bookViews>
    <workbookView xWindow="0" yWindow="0" windowWidth="19440" windowHeight="7080"/>
  </bookViews>
  <sheets>
    <sheet name="Consolidated" sheetId="4" r:id="rId1"/>
    <sheet name="Summary" sheetId="9" r:id="rId2"/>
    <sheet name="DSPR Jordan" sheetId="3" r:id="rId3"/>
    <sheet name="DSPR Lebanon" sheetId="2" r:id="rId4"/>
    <sheet name="FCA Jordan" sheetId="5" r:id="rId5"/>
    <sheet name="FCA Syria" sheetId="6" r:id="rId6"/>
    <sheet name="IOCC Jordan" sheetId="7" r:id="rId7"/>
    <sheet name="IOCC Lebanon" sheetId="10" r:id="rId8"/>
    <sheet name="IOCC Syria" sheetId="11" r:id="rId9"/>
    <sheet name="LWF Jordan" sheetId="12" r:id="rId10"/>
    <sheet name="MECC Lebanon" sheetId="13" r:id="rId11"/>
    <sheet name="MECC Syria" sheetId="14" r:id="rId12"/>
  </sheets>
  <definedNames>
    <definedName name="_xlnm.Print_Area" localSheetId="0">Consolidated!$A$1:$AB$210</definedName>
    <definedName name="_xlnm.Print_Area" localSheetId="2">'DSPR Jordan'!$A$1:$W$283</definedName>
    <definedName name="_xlnm.Print_Area" localSheetId="3">'DSPR Lebanon'!$A$1:$Y$268</definedName>
    <definedName name="_xlnm.Print_Area" localSheetId="4">'FCA Jordan'!$A$1:$Y$289</definedName>
    <definedName name="_xlnm.Print_Area" localSheetId="5">'FCA Syria'!$A$1:$Y$286</definedName>
    <definedName name="_xlnm.Print_Area" localSheetId="6">'IOCC Jordan'!$A$1:$Y$283</definedName>
    <definedName name="_xlnm.Print_Area" localSheetId="7">'IOCC Lebanon'!$A$1:$Y$281</definedName>
    <definedName name="_xlnm.Print_Area" localSheetId="8">'IOCC Syria'!$A$1:$Y$268</definedName>
    <definedName name="_xlnm.Print_Area" localSheetId="9">'LWF Jordan'!$A$1:$Y$284</definedName>
    <definedName name="_xlnm.Print_Area" localSheetId="10">'MECC Lebanon'!$A$1:$Y$272</definedName>
    <definedName name="_xlnm.Print_Area" localSheetId="11">'MECC Syria'!$A$1:$Y$274</definedName>
    <definedName name="_xlnm.Print_Titles" localSheetId="0">Consolidated!$76:$78</definedName>
    <definedName name="_xlnm.Print_Titles" localSheetId="2">'DSPR Jordan'!$76:$78</definedName>
    <definedName name="_xlnm.Print_Titles" localSheetId="3">'DSPR Lebanon'!$76:$78</definedName>
    <definedName name="_xlnm.Print_Titles" localSheetId="4">'FCA Jordan'!$76:$78</definedName>
    <definedName name="_xlnm.Print_Titles" localSheetId="5">'FCA Syria'!$76:$78</definedName>
    <definedName name="_xlnm.Print_Titles" localSheetId="6">'IOCC Jordan'!$76:$78</definedName>
    <definedName name="_xlnm.Print_Titles" localSheetId="7">'IOCC Lebanon'!$76:$78</definedName>
    <definedName name="_xlnm.Print_Titles" localSheetId="8">'IOCC Syria'!$76:$78</definedName>
    <definedName name="_xlnm.Print_Titles" localSheetId="9">'LWF Jordan'!$76:$78</definedName>
    <definedName name="_xlnm.Print_Titles" localSheetId="10">'MECC Lebanon'!$76:$78</definedName>
    <definedName name="_xlnm.Print_Titles" localSheetId="11">'MECC Syria'!$76:$78</definedName>
  </definedNames>
  <calcPr calcId="152511" iterate="1"/>
</workbook>
</file>

<file path=xl/calcChain.xml><?xml version="1.0" encoding="utf-8"?>
<calcChain xmlns="http://schemas.openxmlformats.org/spreadsheetml/2006/main">
  <c r="U246" i="3" l="1"/>
  <c r="E200" i="11" l="1"/>
  <c r="D262" i="11" l="1"/>
  <c r="D278" i="3"/>
  <c r="D279" i="3"/>
  <c r="D280" i="3"/>
  <c r="D277" i="3"/>
  <c r="F240" i="2"/>
  <c r="G240" i="2" s="1"/>
  <c r="U240" i="2"/>
  <c r="U241" i="2"/>
  <c r="S240" i="2" l="1"/>
  <c r="T240" i="2" s="1"/>
  <c r="V240" i="2"/>
  <c r="W240" i="2" s="1"/>
  <c r="V241" i="2"/>
  <c r="W241" i="2"/>
  <c r="S241" i="2"/>
  <c r="T241" i="2" s="1"/>
  <c r="F220" i="13"/>
  <c r="F84" i="7" l="1"/>
  <c r="F147" i="6" l="1"/>
  <c r="F111" i="10" l="1"/>
  <c r="G111" i="10" s="1"/>
  <c r="F195" i="12" l="1"/>
  <c r="F182" i="3" l="1"/>
  <c r="G182" i="3" s="1"/>
  <c r="F183" i="3"/>
  <c r="G183" i="3" s="1"/>
  <c r="F184" i="3"/>
  <c r="G184" i="3" s="1"/>
  <c r="F185" i="3"/>
  <c r="G185" i="3" s="1"/>
  <c r="F150" i="3"/>
  <c r="G150" i="3" s="1"/>
  <c r="F144" i="3"/>
  <c r="G144" i="3" s="1"/>
  <c r="U144" i="3"/>
  <c r="F235" i="12"/>
  <c r="G235" i="12" s="1"/>
  <c r="F227" i="7"/>
  <c r="G227" i="7" s="1"/>
  <c r="D278" i="7"/>
  <c r="D277" i="7"/>
  <c r="F248" i="7"/>
  <c r="F96" i="7"/>
  <c r="F95" i="7"/>
  <c r="G95" i="7" s="1"/>
  <c r="F92" i="7"/>
  <c r="S92" i="7" s="1"/>
  <c r="T92" i="7" s="1"/>
  <c r="F91" i="7"/>
  <c r="E249" i="14"/>
  <c r="F249" i="14" s="1"/>
  <c r="S249" i="14" s="1"/>
  <c r="E247" i="14"/>
  <c r="D247" i="14"/>
  <c r="E246" i="14"/>
  <c r="F246" i="14" s="1"/>
  <c r="E245" i="14"/>
  <c r="F245" i="14" s="1"/>
  <c r="E244" i="14"/>
  <c r="F244" i="14" s="1"/>
  <c r="E243" i="14"/>
  <c r="E242" i="14"/>
  <c r="F242" i="14" s="1"/>
  <c r="E191" i="14"/>
  <c r="F191" i="14" s="1"/>
  <c r="E189" i="14"/>
  <c r="E126" i="14"/>
  <c r="F126" i="14" s="1"/>
  <c r="S126" i="14" s="1"/>
  <c r="E119" i="14"/>
  <c r="F119" i="14" s="1"/>
  <c r="E99" i="14"/>
  <c r="F99" i="14" s="1"/>
  <c r="E98" i="14"/>
  <c r="F98" i="14" s="1"/>
  <c r="E97" i="14"/>
  <c r="F97" i="14" s="1"/>
  <c r="E96" i="14"/>
  <c r="D96" i="14"/>
  <c r="E95" i="14"/>
  <c r="F95" i="14" s="1"/>
  <c r="E94" i="14"/>
  <c r="E93" i="14"/>
  <c r="F93" i="14" s="1"/>
  <c r="E92" i="14"/>
  <c r="F92" i="14" s="1"/>
  <c r="E91" i="14"/>
  <c r="F91" i="14" s="1"/>
  <c r="S91" i="14" s="1"/>
  <c r="E248" i="13"/>
  <c r="F248" i="13" s="1"/>
  <c r="E247" i="13"/>
  <c r="F247" i="13" s="1"/>
  <c r="S247" i="13" s="1"/>
  <c r="E245" i="13"/>
  <c r="F245" i="13" s="1"/>
  <c r="E244" i="13"/>
  <c r="F244" i="13" s="1"/>
  <c r="E243" i="13"/>
  <c r="F243" i="13" s="1"/>
  <c r="E242" i="13"/>
  <c r="F242" i="13" s="1"/>
  <c r="E241" i="13"/>
  <c r="F241" i="13" s="1"/>
  <c r="E240" i="13"/>
  <c r="F240" i="13" s="1"/>
  <c r="E216" i="13"/>
  <c r="F216" i="13" s="1"/>
  <c r="E123" i="13"/>
  <c r="F123" i="13" s="1"/>
  <c r="D122" i="13"/>
  <c r="D92" i="13"/>
  <c r="F92" i="13" s="1"/>
  <c r="F189" i="12"/>
  <c r="F135" i="12"/>
  <c r="G135" i="12" s="1"/>
  <c r="F136" i="12"/>
  <c r="G136" i="12" s="1"/>
  <c r="F137" i="12"/>
  <c r="G137" i="12" s="1"/>
  <c r="F138" i="12"/>
  <c r="G138" i="12" s="1"/>
  <c r="F139" i="12"/>
  <c r="G139" i="12" s="1"/>
  <c r="F140" i="12"/>
  <c r="G140" i="12" s="1"/>
  <c r="F141" i="12"/>
  <c r="G141" i="12" s="1"/>
  <c r="F142" i="12"/>
  <c r="G142" i="12" s="1"/>
  <c r="F143" i="12"/>
  <c r="G143" i="12" s="1"/>
  <c r="F144" i="12"/>
  <c r="G144" i="12" s="1"/>
  <c r="F145" i="12"/>
  <c r="G145" i="12" s="1"/>
  <c r="F146" i="12"/>
  <c r="G146" i="12" s="1"/>
  <c r="F96" i="12"/>
  <c r="G96" i="12" s="1"/>
  <c r="F97" i="12"/>
  <c r="G97" i="12" s="1"/>
  <c r="F98" i="12"/>
  <c r="G98" i="12" s="1"/>
  <c r="F81" i="12"/>
  <c r="F177" i="10"/>
  <c r="G177" i="10" s="1"/>
  <c r="F262" i="10"/>
  <c r="G262" i="10" s="1"/>
  <c r="F261" i="10"/>
  <c r="G261" i="10" s="1"/>
  <c r="F244" i="10"/>
  <c r="G244" i="10" s="1"/>
  <c r="F245" i="10"/>
  <c r="G245" i="10" s="1"/>
  <c r="F246" i="10"/>
  <c r="G246" i="10" s="1"/>
  <c r="F247" i="10"/>
  <c r="G247" i="10" s="1"/>
  <c r="F248" i="10"/>
  <c r="G248" i="10" s="1"/>
  <c r="F249" i="10"/>
  <c r="S249" i="10" s="1"/>
  <c r="T249" i="10" s="1"/>
  <c r="F250" i="10"/>
  <c r="G250" i="10" s="1"/>
  <c r="F251" i="10"/>
  <c r="G251" i="10" s="1"/>
  <c r="F252" i="10"/>
  <c r="G252" i="10" s="1"/>
  <c r="F253" i="10"/>
  <c r="F176" i="10"/>
  <c r="G176" i="10" s="1"/>
  <c r="E250" i="11"/>
  <c r="E248" i="11"/>
  <c r="F248" i="11" s="1"/>
  <c r="E246" i="11"/>
  <c r="F246" i="11" s="1"/>
  <c r="E245" i="11"/>
  <c r="E244" i="11"/>
  <c r="F241" i="11"/>
  <c r="E211" i="11"/>
  <c r="E210" i="11"/>
  <c r="E209" i="11"/>
  <c r="F209" i="11" s="1"/>
  <c r="S209" i="11" s="1"/>
  <c r="E208" i="11"/>
  <c r="F208" i="11"/>
  <c r="F200" i="11"/>
  <c r="G200" i="11" s="1"/>
  <c r="E199" i="11"/>
  <c r="F198" i="11"/>
  <c r="G198" i="11" s="1"/>
  <c r="E190" i="11"/>
  <c r="F190" i="11" s="1"/>
  <c r="E189" i="11"/>
  <c r="F189" i="11" s="1"/>
  <c r="E188" i="11"/>
  <c r="E187" i="11"/>
  <c r="F187" i="11"/>
  <c r="E186" i="11"/>
  <c r="F186" i="11" s="1"/>
  <c r="S186" i="11" s="1"/>
  <c r="E184" i="11"/>
  <c r="E183" i="11"/>
  <c r="E174" i="11"/>
  <c r="E141" i="11"/>
  <c r="F141" i="11" s="1"/>
  <c r="E140" i="11"/>
  <c r="E134" i="11"/>
  <c r="E123" i="11"/>
  <c r="E122" i="11"/>
  <c r="F122" i="11" s="1"/>
  <c r="E110" i="11"/>
  <c r="E106" i="11"/>
  <c r="E96" i="11"/>
  <c r="E95" i="11"/>
  <c r="F95" i="11" s="1"/>
  <c r="E94" i="11"/>
  <c r="E93" i="11"/>
  <c r="F93" i="11"/>
  <c r="E92" i="11"/>
  <c r="F92" i="11" s="1"/>
  <c r="G92" i="11" s="1"/>
  <c r="F262" i="7"/>
  <c r="F264" i="7"/>
  <c r="G264" i="7" s="1"/>
  <c r="F260" i="7"/>
  <c r="G260" i="7" s="1"/>
  <c r="F258" i="7"/>
  <c r="G258" i="7" s="1"/>
  <c r="F259" i="7"/>
  <c r="G259" i="7" s="1"/>
  <c r="F257" i="7"/>
  <c r="F256" i="7"/>
  <c r="G256" i="7" s="1"/>
  <c r="F255" i="7"/>
  <c r="F253" i="7"/>
  <c r="G253" i="7" s="1"/>
  <c r="F252" i="7"/>
  <c r="G252" i="7" s="1"/>
  <c r="F251" i="7"/>
  <c r="G251" i="7" s="1"/>
  <c r="F250" i="7"/>
  <c r="G250" i="7" s="1"/>
  <c r="F249" i="7"/>
  <c r="G249" i="7" s="1"/>
  <c r="F225" i="7"/>
  <c r="S225" i="7" s="1"/>
  <c r="T225" i="7" s="1"/>
  <c r="F196" i="7"/>
  <c r="F195" i="7"/>
  <c r="F193" i="7"/>
  <c r="E190" i="7"/>
  <c r="F188" i="7"/>
  <c r="F180" i="7"/>
  <c r="G180" i="7" s="1"/>
  <c r="F181" i="7"/>
  <c r="F136" i="7"/>
  <c r="G136" i="7" s="1"/>
  <c r="F137" i="7"/>
  <c r="G137" i="7" s="1"/>
  <c r="F138" i="7"/>
  <c r="G138" i="7" s="1"/>
  <c r="E135" i="7"/>
  <c r="F135" i="7" s="1"/>
  <c r="G135" i="7" s="1"/>
  <c r="D134" i="7"/>
  <c r="F134" i="7" s="1"/>
  <c r="G134" i="7" s="1"/>
  <c r="E131" i="7"/>
  <c r="D131" i="7"/>
  <c r="F131" i="7" s="1"/>
  <c r="E129" i="7"/>
  <c r="D129" i="7"/>
  <c r="D115" i="7"/>
  <c r="D114" i="7"/>
  <c r="F114" i="7" s="1"/>
  <c r="D109" i="7"/>
  <c r="F109" i="7" s="1"/>
  <c r="S109" i="7" s="1"/>
  <c r="E107" i="7"/>
  <c r="F94" i="7"/>
  <c r="G94" i="7" s="1"/>
  <c r="V94" i="7" s="1"/>
  <c r="W94" i="7" s="1"/>
  <c r="F93" i="7"/>
  <c r="F97" i="7"/>
  <c r="G97" i="7" s="1"/>
  <c r="F99" i="7"/>
  <c r="G99" i="7" s="1"/>
  <c r="G96" i="7"/>
  <c r="E98" i="7"/>
  <c r="F98" i="7" s="1"/>
  <c r="E83" i="7"/>
  <c r="F83" i="7" s="1"/>
  <c r="S83" i="7" s="1"/>
  <c r="F265" i="6"/>
  <c r="E266" i="6"/>
  <c r="F266" i="6"/>
  <c r="F260" i="6"/>
  <c r="F261" i="6"/>
  <c r="F262" i="6"/>
  <c r="F263" i="6"/>
  <c r="S263" i="6" s="1"/>
  <c r="E261" i="6"/>
  <c r="E259" i="6"/>
  <c r="E258" i="6"/>
  <c r="F256" i="6"/>
  <c r="E256" i="6"/>
  <c r="E255" i="6"/>
  <c r="F255" i="6" s="1"/>
  <c r="E254" i="6"/>
  <c r="F254" i="6" s="1"/>
  <c r="E253" i="6"/>
  <c r="F253" i="6" s="1"/>
  <c r="E252" i="6"/>
  <c r="F252" i="6" s="1"/>
  <c r="E251" i="6"/>
  <c r="F251" i="6" s="1"/>
  <c r="E250" i="6"/>
  <c r="E249" i="6"/>
  <c r="E248" i="6"/>
  <c r="F209" i="6"/>
  <c r="F210" i="6"/>
  <c r="F145" i="6"/>
  <c r="F146" i="6"/>
  <c r="F148" i="6"/>
  <c r="F149" i="6"/>
  <c r="F150" i="6"/>
  <c r="F151" i="6"/>
  <c r="F152" i="6"/>
  <c r="E83" i="6"/>
  <c r="E267" i="5"/>
  <c r="F267" i="5" s="1"/>
  <c r="E264" i="5"/>
  <c r="F264" i="5" s="1"/>
  <c r="E262" i="5"/>
  <c r="F262" i="5" s="1"/>
  <c r="G262" i="5" s="1"/>
  <c r="E261" i="5"/>
  <c r="F261" i="5" s="1"/>
  <c r="G261" i="5" s="1"/>
  <c r="E260" i="5"/>
  <c r="F260" i="5" s="1"/>
  <c r="G260" i="5" s="1"/>
  <c r="E259" i="5"/>
  <c r="F259" i="5" s="1"/>
  <c r="G259" i="5" s="1"/>
  <c r="E258" i="5"/>
  <c r="F258" i="5" s="1"/>
  <c r="G258" i="5" s="1"/>
  <c r="E257" i="5"/>
  <c r="F257" i="5" s="1"/>
  <c r="E256" i="5"/>
  <c r="F256" i="5" s="1"/>
  <c r="E255" i="5"/>
  <c r="F255" i="5" s="1"/>
  <c r="E240" i="5"/>
  <c r="F240" i="5" s="1"/>
  <c r="F216" i="5"/>
  <c r="G216" i="5" s="1"/>
  <c r="F217" i="5"/>
  <c r="G217" i="5" s="1"/>
  <c r="F137" i="5"/>
  <c r="G137" i="5" s="1"/>
  <c r="F138" i="5"/>
  <c r="G138" i="5" s="1"/>
  <c r="F139" i="5"/>
  <c r="G139" i="5" s="1"/>
  <c r="F140" i="5"/>
  <c r="G140" i="5" s="1"/>
  <c r="F141" i="5"/>
  <c r="G141" i="5" s="1"/>
  <c r="F142" i="5"/>
  <c r="G142" i="5" s="1"/>
  <c r="F146" i="5"/>
  <c r="G146" i="5" s="1"/>
  <c r="F147" i="5"/>
  <c r="G147" i="5" s="1"/>
  <c r="F149" i="5"/>
  <c r="G149" i="5" s="1"/>
  <c r="F150" i="5"/>
  <c r="G150" i="5" s="1"/>
  <c r="F151" i="5"/>
  <c r="G151" i="5" s="1"/>
  <c r="F148" i="5"/>
  <c r="G148" i="5" s="1"/>
  <c r="E145" i="5"/>
  <c r="F145" i="5" s="1"/>
  <c r="G145" i="5" s="1"/>
  <c r="E144" i="5"/>
  <c r="F144" i="5" s="1"/>
  <c r="G144" i="5" s="1"/>
  <c r="E143" i="5"/>
  <c r="F143" i="5" s="1"/>
  <c r="G143" i="5" s="1"/>
  <c r="F132" i="5"/>
  <c r="G132" i="5" s="1"/>
  <c r="F133" i="5"/>
  <c r="F134" i="5"/>
  <c r="S134" i="5" s="1"/>
  <c r="T134" i="5" s="1"/>
  <c r="F135" i="5"/>
  <c r="G135" i="5" s="1"/>
  <c r="F136" i="5"/>
  <c r="E128" i="5"/>
  <c r="F128" i="5" s="1"/>
  <c r="E95" i="5"/>
  <c r="F95" i="5" s="1"/>
  <c r="S95" i="5" s="1"/>
  <c r="T95" i="5" s="1"/>
  <c r="E94" i="5"/>
  <c r="F94" i="5" s="1"/>
  <c r="G94" i="5" s="1"/>
  <c r="E93" i="5"/>
  <c r="F93" i="5"/>
  <c r="G93" i="5" s="1"/>
  <c r="F253" i="3"/>
  <c r="G253" i="3" s="1"/>
  <c r="F254" i="3"/>
  <c r="G254" i="3" s="1"/>
  <c r="F148" i="3"/>
  <c r="G148" i="3" s="1"/>
  <c r="F149" i="3"/>
  <c r="G149" i="3" s="1"/>
  <c r="F151" i="3"/>
  <c r="G151" i="3" s="1"/>
  <c r="F138" i="3"/>
  <c r="G138" i="3" s="1"/>
  <c r="F139" i="3"/>
  <c r="G139" i="3" s="1"/>
  <c r="F140" i="3"/>
  <c r="G140" i="3" s="1"/>
  <c r="F141" i="3"/>
  <c r="G141" i="3" s="1"/>
  <c r="F142" i="3"/>
  <c r="G142" i="3" s="1"/>
  <c r="F255" i="14"/>
  <c r="S255" i="14" s="1"/>
  <c r="F253" i="14"/>
  <c r="S253" i="14" s="1"/>
  <c r="F251" i="14"/>
  <c r="S251" i="14" s="1"/>
  <c r="F250" i="14"/>
  <c r="S250" i="14" s="1"/>
  <c r="T250" i="14" s="1"/>
  <c r="F243" i="14"/>
  <c r="R234" i="14"/>
  <c r="F229" i="14"/>
  <c r="S229" i="14" s="1"/>
  <c r="F228" i="14"/>
  <c r="S228" i="14" s="1"/>
  <c r="F227" i="14"/>
  <c r="F222" i="14"/>
  <c r="F221" i="14"/>
  <c r="S221" i="14" s="1"/>
  <c r="F220" i="14"/>
  <c r="S220" i="14" s="1"/>
  <c r="F219" i="14"/>
  <c r="F214" i="14"/>
  <c r="S214" i="14" s="1"/>
  <c r="F213" i="14"/>
  <c r="S213" i="14" s="1"/>
  <c r="F212" i="14"/>
  <c r="S212" i="14" s="1"/>
  <c r="F211" i="14"/>
  <c r="F205" i="14"/>
  <c r="F204" i="14"/>
  <c r="T204" i="14"/>
  <c r="F203" i="14"/>
  <c r="F202" i="14"/>
  <c r="S202" i="14" s="1"/>
  <c r="F201" i="14"/>
  <c r="F193" i="14"/>
  <c r="T193" i="14" s="1"/>
  <c r="F192" i="14"/>
  <c r="S192" i="14" s="1"/>
  <c r="F190" i="14"/>
  <c r="S190" i="14" s="1"/>
  <c r="F189" i="14"/>
  <c r="S189" i="14" s="1"/>
  <c r="F187" i="14"/>
  <c r="S187" i="14" s="1"/>
  <c r="F186" i="14"/>
  <c r="F184" i="14"/>
  <c r="S184" i="14" s="1"/>
  <c r="F183" i="14"/>
  <c r="F177" i="14"/>
  <c r="F176" i="14"/>
  <c r="F175" i="14"/>
  <c r="F174" i="14"/>
  <c r="S174" i="14" s="1"/>
  <c r="F173" i="14"/>
  <c r="T173" i="14" s="1"/>
  <c r="F172" i="14"/>
  <c r="F171" i="14"/>
  <c r="T171" i="14" s="1"/>
  <c r="F170" i="14"/>
  <c r="T170" i="14" s="1"/>
  <c r="F165" i="14"/>
  <c r="T165" i="14" s="1"/>
  <c r="F164" i="14"/>
  <c r="F163" i="14"/>
  <c r="T163" i="14" s="1"/>
  <c r="F162" i="14"/>
  <c r="F161" i="14"/>
  <c r="T161" i="14" s="1"/>
  <c r="F159" i="14"/>
  <c r="S159" i="14" s="1"/>
  <c r="F158" i="14"/>
  <c r="T158" i="14" s="1"/>
  <c r="F157" i="14"/>
  <c r="F156" i="14"/>
  <c r="F155" i="14"/>
  <c r="S155" i="14" s="1"/>
  <c r="F153" i="14"/>
  <c r="S153" i="14" s="1"/>
  <c r="F152" i="14"/>
  <c r="F151" i="14"/>
  <c r="F150" i="14"/>
  <c r="F149" i="14"/>
  <c r="T149" i="14" s="1"/>
  <c r="F147" i="14"/>
  <c r="F146" i="14"/>
  <c r="T146" i="14" s="1"/>
  <c r="F145" i="14"/>
  <c r="F144" i="14"/>
  <c r="S144" i="14" s="1"/>
  <c r="F143" i="14"/>
  <c r="S143" i="14" s="1"/>
  <c r="T143" i="14" s="1"/>
  <c r="F141" i="14"/>
  <c r="S141" i="14" s="1"/>
  <c r="T141" i="14"/>
  <c r="F140" i="14"/>
  <c r="F139" i="14"/>
  <c r="F138" i="14"/>
  <c r="F137" i="14"/>
  <c r="F135" i="14"/>
  <c r="S135" i="14" s="1"/>
  <c r="F134" i="14"/>
  <c r="F133" i="14"/>
  <c r="T133" i="14" s="1"/>
  <c r="F132" i="14"/>
  <c r="F131" i="14"/>
  <c r="F129" i="14"/>
  <c r="T129" i="14" s="1"/>
  <c r="F128" i="14"/>
  <c r="T128" i="14"/>
  <c r="F127" i="14"/>
  <c r="T127" i="14" s="1"/>
  <c r="T126" i="14"/>
  <c r="F125" i="14"/>
  <c r="F123" i="14"/>
  <c r="F122" i="14"/>
  <c r="F121" i="14"/>
  <c r="F120" i="14"/>
  <c r="F117" i="14"/>
  <c r="F116" i="14"/>
  <c r="T116" i="14" s="1"/>
  <c r="F115" i="14"/>
  <c r="T115" i="14" s="1"/>
  <c r="F114" i="14"/>
  <c r="T114" i="14" s="1"/>
  <c r="F113" i="14"/>
  <c r="S113" i="14"/>
  <c r="F111" i="14"/>
  <c r="F110" i="14"/>
  <c r="T110" i="14" s="1"/>
  <c r="F109" i="14"/>
  <c r="F108" i="14"/>
  <c r="T108" i="14" s="1"/>
  <c r="F107" i="14"/>
  <c r="S99" i="14"/>
  <c r="F94" i="14"/>
  <c r="T91" i="14"/>
  <c r="F88" i="14"/>
  <c r="S88" i="14" s="1"/>
  <c r="F87" i="14"/>
  <c r="F86" i="14"/>
  <c r="F85" i="14"/>
  <c r="F84" i="14"/>
  <c r="T84" i="14" s="1"/>
  <c r="F83" i="14"/>
  <c r="S83" i="14" s="1"/>
  <c r="T81" i="14"/>
  <c r="S81" i="14"/>
  <c r="F71" i="14"/>
  <c r="F57" i="14"/>
  <c r="F42" i="14"/>
  <c r="F28" i="14"/>
  <c r="C4" i="14"/>
  <c r="R232" i="13"/>
  <c r="F253" i="13"/>
  <c r="F251" i="13"/>
  <c r="S251" i="13" s="1"/>
  <c r="F249" i="13"/>
  <c r="T247" i="13"/>
  <c r="S245" i="13"/>
  <c r="F227" i="13"/>
  <c r="T227" i="13"/>
  <c r="F226" i="13"/>
  <c r="S226" i="13" s="1"/>
  <c r="F225" i="13"/>
  <c r="F219" i="13"/>
  <c r="F218" i="13"/>
  <c r="S218" i="13" s="1"/>
  <c r="F217" i="13"/>
  <c r="S217" i="13" s="1"/>
  <c r="F211" i="13"/>
  <c r="T211" i="13" s="1"/>
  <c r="F210" i="13"/>
  <c r="F209" i="13"/>
  <c r="T209" i="13" s="1"/>
  <c r="F208" i="13"/>
  <c r="F202" i="13"/>
  <c r="F201" i="13"/>
  <c r="S201" i="13" s="1"/>
  <c r="F200" i="13"/>
  <c r="F199" i="13"/>
  <c r="S199" i="13" s="1"/>
  <c r="F198" i="13"/>
  <c r="S198" i="13" s="1"/>
  <c r="F190" i="13"/>
  <c r="F189" i="13"/>
  <c r="S189" i="13" s="1"/>
  <c r="F188" i="13"/>
  <c r="T188" i="13"/>
  <c r="F187" i="13"/>
  <c r="F186" i="13"/>
  <c r="F184" i="13"/>
  <c r="F183" i="13"/>
  <c r="T183" i="13" s="1"/>
  <c r="F181" i="13"/>
  <c r="F180" i="13"/>
  <c r="F174" i="13"/>
  <c r="S174" i="13" s="1"/>
  <c r="F173" i="13"/>
  <c r="S173" i="13" s="1"/>
  <c r="F172" i="13"/>
  <c r="F171" i="13"/>
  <c r="S171" i="13"/>
  <c r="F170" i="13"/>
  <c r="F169" i="13"/>
  <c r="S169" i="13"/>
  <c r="F168" i="13"/>
  <c r="F167" i="13"/>
  <c r="T167" i="13" s="1"/>
  <c r="F162" i="13"/>
  <c r="S162" i="13" s="1"/>
  <c r="F161" i="13"/>
  <c r="T161" i="13" s="1"/>
  <c r="F160" i="13"/>
  <c r="F159" i="13"/>
  <c r="T159" i="13" s="1"/>
  <c r="F158" i="13"/>
  <c r="T158" i="13"/>
  <c r="F156" i="13"/>
  <c r="T156" i="13" s="1"/>
  <c r="F155" i="13"/>
  <c r="T155" i="13" s="1"/>
  <c r="F154" i="13"/>
  <c r="F153" i="13"/>
  <c r="S153" i="13" s="1"/>
  <c r="F152" i="13"/>
  <c r="S152" i="13" s="1"/>
  <c r="F150" i="13"/>
  <c r="F149" i="13"/>
  <c r="F148" i="13"/>
  <c r="F147" i="13"/>
  <c r="F146" i="13"/>
  <c r="S146" i="13" s="1"/>
  <c r="F144" i="13"/>
  <c r="F143" i="13"/>
  <c r="F142" i="13"/>
  <c r="F141" i="13"/>
  <c r="F140" i="13"/>
  <c r="F138" i="13"/>
  <c r="S138" i="13" s="1"/>
  <c r="F137" i="13"/>
  <c r="S137" i="13" s="1"/>
  <c r="F136" i="13"/>
  <c r="S136" i="13" s="1"/>
  <c r="F135" i="13"/>
  <c r="F134" i="13"/>
  <c r="S134" i="13" s="1"/>
  <c r="T134" i="13" s="1"/>
  <c r="F132" i="13"/>
  <c r="T132" i="13" s="1"/>
  <c r="F131" i="13"/>
  <c r="F130" i="13"/>
  <c r="F129" i="13"/>
  <c r="F128" i="13"/>
  <c r="F126" i="13"/>
  <c r="S126" i="13" s="1"/>
  <c r="F125" i="13"/>
  <c r="F124" i="13"/>
  <c r="F122" i="13"/>
  <c r="F120" i="13"/>
  <c r="T120" i="13" s="1"/>
  <c r="F119" i="13"/>
  <c r="T119" i="13" s="1"/>
  <c r="F118" i="13"/>
  <c r="F117" i="13"/>
  <c r="T117" i="13" s="1"/>
  <c r="F116" i="13"/>
  <c r="S116" i="13" s="1"/>
  <c r="F114" i="13"/>
  <c r="S114" i="13" s="1"/>
  <c r="F113" i="13"/>
  <c r="S113" i="13" s="1"/>
  <c r="F112" i="13"/>
  <c r="T112" i="13" s="1"/>
  <c r="F111" i="13"/>
  <c r="F110" i="13"/>
  <c r="F108" i="13"/>
  <c r="F107" i="13"/>
  <c r="F106" i="13"/>
  <c r="F105" i="13"/>
  <c r="F104" i="13"/>
  <c r="T104" i="13" s="1"/>
  <c r="F96" i="13"/>
  <c r="T96" i="13" s="1"/>
  <c r="F95" i="13"/>
  <c r="S95" i="13" s="1"/>
  <c r="F94" i="13"/>
  <c r="F93" i="13"/>
  <c r="F91" i="13"/>
  <c r="F88" i="13"/>
  <c r="F87" i="13"/>
  <c r="S87" i="13"/>
  <c r="F86" i="13"/>
  <c r="F85" i="13"/>
  <c r="T85" i="13" s="1"/>
  <c r="F84" i="13"/>
  <c r="T84" i="13" s="1"/>
  <c r="F83" i="13"/>
  <c r="T81" i="13"/>
  <c r="S81" i="13"/>
  <c r="F71" i="13"/>
  <c r="F57" i="13"/>
  <c r="F42" i="13"/>
  <c r="F28" i="13"/>
  <c r="C4" i="13"/>
  <c r="F265" i="12"/>
  <c r="G265" i="12" s="1"/>
  <c r="F263" i="12"/>
  <c r="G263" i="12" s="1"/>
  <c r="F261" i="12"/>
  <c r="F260" i="12"/>
  <c r="S260" i="12" s="1"/>
  <c r="T260" i="12" s="1"/>
  <c r="F259" i="12"/>
  <c r="F257" i="12"/>
  <c r="F256" i="12"/>
  <c r="S256" i="12" s="1"/>
  <c r="T256" i="12" s="1"/>
  <c r="F255" i="12"/>
  <c r="R247" i="12"/>
  <c r="U247" i="12" s="1"/>
  <c r="F242" i="12"/>
  <c r="F241" i="12"/>
  <c r="F240" i="12"/>
  <c r="F234" i="12"/>
  <c r="G234" i="12" s="1"/>
  <c r="F233" i="12"/>
  <c r="F232" i="12"/>
  <c r="F231" i="12"/>
  <c r="F226" i="12"/>
  <c r="S226" i="12" s="1"/>
  <c r="F225" i="12"/>
  <c r="S225" i="12" s="1"/>
  <c r="F224" i="12"/>
  <c r="T224" i="12" s="1"/>
  <c r="F223" i="12"/>
  <c r="F217" i="12"/>
  <c r="F216" i="12"/>
  <c r="T216" i="12" s="1"/>
  <c r="F215" i="12"/>
  <c r="F214" i="12"/>
  <c r="F213" i="12"/>
  <c r="G213" i="12" s="1"/>
  <c r="F205" i="12"/>
  <c r="S205" i="12" s="1"/>
  <c r="T205" i="12" s="1"/>
  <c r="F204" i="12"/>
  <c r="F203" i="12"/>
  <c r="S203" i="12" s="1"/>
  <c r="T203" i="12" s="1"/>
  <c r="F202" i="12"/>
  <c r="G202" i="12" s="1"/>
  <c r="F201" i="12"/>
  <c r="S201" i="12" s="1"/>
  <c r="F199" i="12"/>
  <c r="S199" i="12" s="1"/>
  <c r="T199" i="12" s="1"/>
  <c r="F198" i="12"/>
  <c r="S198" i="12"/>
  <c r="F196" i="12"/>
  <c r="G195" i="12"/>
  <c r="F188" i="12"/>
  <c r="S188" i="12" s="1"/>
  <c r="F187" i="12"/>
  <c r="F186" i="12"/>
  <c r="S186" i="12" s="1"/>
  <c r="F185" i="12"/>
  <c r="F184" i="12"/>
  <c r="G184" i="12" s="1"/>
  <c r="F183" i="12"/>
  <c r="T183" i="12" s="1"/>
  <c r="F182" i="12"/>
  <c r="F181" i="12"/>
  <c r="F176" i="12"/>
  <c r="T176" i="12" s="1"/>
  <c r="F175" i="12"/>
  <c r="S175" i="12" s="1"/>
  <c r="F174" i="12"/>
  <c r="F173" i="12"/>
  <c r="F172" i="12"/>
  <c r="S172" i="12" s="1"/>
  <c r="F170" i="12"/>
  <c r="F169" i="12"/>
  <c r="G169" i="12" s="1"/>
  <c r="W169" i="12" s="1"/>
  <c r="F168" i="12"/>
  <c r="T168" i="12" s="1"/>
  <c r="F167" i="12"/>
  <c r="S167" i="12" s="1"/>
  <c r="F166" i="12"/>
  <c r="F164" i="12"/>
  <c r="T164" i="12" s="1"/>
  <c r="F163" i="12"/>
  <c r="G163" i="12" s="1"/>
  <c r="F162" i="12"/>
  <c r="T162" i="12" s="1"/>
  <c r="F161" i="12"/>
  <c r="T161" i="12"/>
  <c r="F160" i="12"/>
  <c r="T160" i="12" s="1"/>
  <c r="F158" i="12"/>
  <c r="S158" i="12" s="1"/>
  <c r="F157" i="12"/>
  <c r="F156" i="12"/>
  <c r="F155" i="12"/>
  <c r="T155" i="12" s="1"/>
  <c r="F154" i="12"/>
  <c r="G154" i="12"/>
  <c r="F152" i="12"/>
  <c r="F151" i="12"/>
  <c r="G151" i="12" s="1"/>
  <c r="F150" i="12"/>
  <c r="F149" i="12"/>
  <c r="F148" i="12"/>
  <c r="S148" i="12" s="1"/>
  <c r="F134" i="12"/>
  <c r="F133" i="12"/>
  <c r="G133" i="12" s="1"/>
  <c r="F132" i="12"/>
  <c r="F131" i="12"/>
  <c r="F129" i="12"/>
  <c r="F128" i="12"/>
  <c r="G128" i="12" s="1"/>
  <c r="W128" i="12" s="1"/>
  <c r="F127" i="12"/>
  <c r="T127" i="12" s="1"/>
  <c r="F126" i="12"/>
  <c r="F125" i="12"/>
  <c r="F123" i="12"/>
  <c r="G123" i="12" s="1"/>
  <c r="F122" i="12"/>
  <c r="F121" i="12"/>
  <c r="F120" i="12"/>
  <c r="S120" i="12" s="1"/>
  <c r="F119" i="12"/>
  <c r="F117" i="12"/>
  <c r="S117" i="12" s="1"/>
  <c r="F116" i="12"/>
  <c r="T116" i="12" s="1"/>
  <c r="F115" i="12"/>
  <c r="F114" i="12"/>
  <c r="S114" i="12" s="1"/>
  <c r="F113" i="12"/>
  <c r="F111" i="12"/>
  <c r="T111" i="12" s="1"/>
  <c r="F110" i="12"/>
  <c r="G110" i="12" s="1"/>
  <c r="W110" i="12" s="1"/>
  <c r="F109" i="12"/>
  <c r="F108" i="12"/>
  <c r="F107" i="12"/>
  <c r="S107" i="12" s="1"/>
  <c r="F99" i="12"/>
  <c r="S99" i="12" s="1"/>
  <c r="F95" i="12"/>
  <c r="F94" i="12"/>
  <c r="F93" i="12"/>
  <c r="G93" i="12" s="1"/>
  <c r="F92" i="12"/>
  <c r="F91" i="12"/>
  <c r="F88" i="12"/>
  <c r="F87" i="12"/>
  <c r="G87" i="12"/>
  <c r="F86" i="12"/>
  <c r="S86" i="12" s="1"/>
  <c r="F85" i="12"/>
  <c r="F84" i="12"/>
  <c r="G84" i="12" s="1"/>
  <c r="F83" i="12"/>
  <c r="S81" i="12"/>
  <c r="F71" i="12"/>
  <c r="F57" i="12"/>
  <c r="F42" i="12"/>
  <c r="F28" i="12"/>
  <c r="R231" i="11"/>
  <c r="U231" i="11" s="1"/>
  <c r="R234" i="10"/>
  <c r="R239" i="7"/>
  <c r="R239" i="6"/>
  <c r="R246" i="5"/>
  <c r="R231" i="2"/>
  <c r="U231" i="2" s="1"/>
  <c r="R242" i="3"/>
  <c r="U242" i="3" s="1"/>
  <c r="J89" i="4"/>
  <c r="Z89" i="4" s="1"/>
  <c r="F250" i="11"/>
  <c r="G250" i="11" s="1"/>
  <c r="F245" i="11"/>
  <c r="S245" i="11" s="1"/>
  <c r="F244" i="11"/>
  <c r="F242" i="11"/>
  <c r="F240" i="11"/>
  <c r="G240" i="11" s="1"/>
  <c r="F226" i="11"/>
  <c r="T226" i="11" s="1"/>
  <c r="F225" i="11"/>
  <c r="S225" i="11" s="1"/>
  <c r="F224" i="11"/>
  <c r="T224" i="11" s="1"/>
  <c r="F219" i="11"/>
  <c r="S219" i="11" s="1"/>
  <c r="F218" i="11"/>
  <c r="T218" i="11" s="1"/>
  <c r="F217" i="11"/>
  <c r="S217" i="11" s="1"/>
  <c r="F216" i="11"/>
  <c r="S216" i="11" s="1"/>
  <c r="F211" i="11"/>
  <c r="F210" i="11"/>
  <c r="F202" i="11"/>
  <c r="S202" i="11" s="1"/>
  <c r="F201" i="11"/>
  <c r="F199" i="11"/>
  <c r="S199" i="11" s="1"/>
  <c r="T199" i="11" s="1"/>
  <c r="S190" i="11"/>
  <c r="T190" i="11" s="1"/>
  <c r="F188" i="11"/>
  <c r="S188" i="11" s="1"/>
  <c r="F184" i="11"/>
  <c r="F183" i="11"/>
  <c r="F181" i="11"/>
  <c r="T181" i="11" s="1"/>
  <c r="F180" i="11"/>
  <c r="F174" i="11"/>
  <c r="F173" i="11"/>
  <c r="S173" i="11" s="1"/>
  <c r="T173" i="11" s="1"/>
  <c r="F172" i="11"/>
  <c r="F171" i="11"/>
  <c r="F170" i="11"/>
  <c r="T170" i="11" s="1"/>
  <c r="S170" i="11"/>
  <c r="F169" i="11"/>
  <c r="T169" i="11" s="1"/>
  <c r="F168" i="11"/>
  <c r="F167" i="11"/>
  <c r="S167" i="11"/>
  <c r="F162" i="11"/>
  <c r="T162" i="11" s="1"/>
  <c r="F161" i="11"/>
  <c r="T161" i="11" s="1"/>
  <c r="F160" i="11"/>
  <c r="F159" i="11"/>
  <c r="F158" i="11"/>
  <c r="S158" i="11" s="1"/>
  <c r="F156" i="11"/>
  <c r="F155" i="11"/>
  <c r="S155" i="11" s="1"/>
  <c r="F154" i="11"/>
  <c r="F153" i="11"/>
  <c r="F152" i="11"/>
  <c r="S152" i="11" s="1"/>
  <c r="F150" i="11"/>
  <c r="S150" i="11"/>
  <c r="F149" i="11"/>
  <c r="S149" i="11" s="1"/>
  <c r="F148" i="11"/>
  <c r="F147" i="11"/>
  <c r="T147" i="11" s="1"/>
  <c r="F146" i="11"/>
  <c r="F144" i="11"/>
  <c r="S144" i="11" s="1"/>
  <c r="F143" i="11"/>
  <c r="S143" i="11" s="1"/>
  <c r="F142" i="11"/>
  <c r="S142" i="11" s="1"/>
  <c r="F140" i="11"/>
  <c r="F138" i="11"/>
  <c r="S138" i="11" s="1"/>
  <c r="F137" i="11"/>
  <c r="T137" i="11" s="1"/>
  <c r="F136" i="11"/>
  <c r="T136" i="11" s="1"/>
  <c r="F135" i="11"/>
  <c r="F134" i="11"/>
  <c r="F132" i="11"/>
  <c r="F131" i="11"/>
  <c r="S131" i="11" s="1"/>
  <c r="F130" i="11"/>
  <c r="S130" i="11"/>
  <c r="F129" i="11"/>
  <c r="T129" i="11" s="1"/>
  <c r="F128" i="11"/>
  <c r="F126" i="11"/>
  <c r="S126" i="11" s="1"/>
  <c r="F125" i="11"/>
  <c r="T125" i="11" s="1"/>
  <c r="F124" i="11"/>
  <c r="S124" i="11" s="1"/>
  <c r="F123" i="11"/>
  <c r="S123" i="11" s="1"/>
  <c r="F120" i="11"/>
  <c r="S120" i="11" s="1"/>
  <c r="F119" i="11"/>
  <c r="S119" i="11" s="1"/>
  <c r="F118" i="11"/>
  <c r="S118" i="11" s="1"/>
  <c r="F117" i="11"/>
  <c r="F116" i="11"/>
  <c r="T116" i="11" s="1"/>
  <c r="F114" i="11"/>
  <c r="T114" i="11" s="1"/>
  <c r="F113" i="11"/>
  <c r="T113" i="11" s="1"/>
  <c r="F112" i="11"/>
  <c r="T112" i="11" s="1"/>
  <c r="F111" i="11"/>
  <c r="G111" i="11" s="1"/>
  <c r="W111" i="11" s="1"/>
  <c r="F110" i="11"/>
  <c r="S110" i="11" s="1"/>
  <c r="T110" i="11" s="1"/>
  <c r="F108" i="11"/>
  <c r="T108" i="11" s="1"/>
  <c r="F107" i="11"/>
  <c r="S107" i="11" s="1"/>
  <c r="F106" i="11"/>
  <c r="F105" i="11"/>
  <c r="S105" i="11" s="1"/>
  <c r="F104" i="11"/>
  <c r="F96" i="11"/>
  <c r="S96" i="11" s="1"/>
  <c r="F94" i="11"/>
  <c r="S94" i="11" s="1"/>
  <c r="F91" i="11"/>
  <c r="F88" i="11"/>
  <c r="T88" i="11" s="1"/>
  <c r="F87" i="11"/>
  <c r="T87" i="11" s="1"/>
  <c r="F86" i="11"/>
  <c r="S86" i="11" s="1"/>
  <c r="F85" i="11"/>
  <c r="S85" i="11" s="1"/>
  <c r="T85" i="11"/>
  <c r="F84" i="11"/>
  <c r="F98" i="11" s="1"/>
  <c r="S98" i="11" s="1"/>
  <c r="F83" i="11"/>
  <c r="T83" i="11" s="1"/>
  <c r="S83" i="11"/>
  <c r="F81" i="11"/>
  <c r="S81" i="11" s="1"/>
  <c r="F71" i="11"/>
  <c r="F57" i="11"/>
  <c r="F42" i="11"/>
  <c r="F28" i="11"/>
  <c r="F263" i="10"/>
  <c r="F259" i="10"/>
  <c r="F257" i="10"/>
  <c r="F256" i="10"/>
  <c r="F255" i="10"/>
  <c r="F243" i="10"/>
  <c r="F229" i="10"/>
  <c r="T229" i="10"/>
  <c r="F228" i="10"/>
  <c r="T228" i="10" s="1"/>
  <c r="F227" i="10"/>
  <c r="T227" i="10" s="1"/>
  <c r="F222" i="10"/>
  <c r="S222" i="10" s="1"/>
  <c r="F221" i="10"/>
  <c r="T221" i="10" s="1"/>
  <c r="F220" i="10"/>
  <c r="T220" i="10" s="1"/>
  <c r="F219" i="10"/>
  <c r="F214" i="10"/>
  <c r="T214" i="10"/>
  <c r="F213" i="10"/>
  <c r="S213" i="10" s="1"/>
  <c r="F212" i="10"/>
  <c r="T212" i="10"/>
  <c r="F211" i="10"/>
  <c r="S211" i="10" s="1"/>
  <c r="F205" i="10"/>
  <c r="T205" i="10" s="1"/>
  <c r="F204" i="10"/>
  <c r="F203" i="10"/>
  <c r="T203" i="10" s="1"/>
  <c r="F202" i="10"/>
  <c r="F201" i="10"/>
  <c r="S201" i="10" s="1"/>
  <c r="F193" i="10"/>
  <c r="S193" i="10" s="1"/>
  <c r="F192" i="10"/>
  <c r="T192" i="10" s="1"/>
  <c r="F191" i="10"/>
  <c r="F190" i="10"/>
  <c r="S190" i="10" s="1"/>
  <c r="F189" i="10"/>
  <c r="F187" i="10"/>
  <c r="T187" i="10" s="1"/>
  <c r="F186" i="10"/>
  <c r="F184" i="10"/>
  <c r="T184" i="10" s="1"/>
  <c r="F183" i="10"/>
  <c r="F175" i="10"/>
  <c r="G175" i="10" s="1"/>
  <c r="F174" i="10"/>
  <c r="S174" i="10" s="1"/>
  <c r="T174" i="10" s="1"/>
  <c r="F173" i="10"/>
  <c r="F172" i="10"/>
  <c r="S172" i="10" s="1"/>
  <c r="F171" i="10"/>
  <c r="G171" i="10" s="1"/>
  <c r="F170" i="10"/>
  <c r="F169" i="10"/>
  <c r="S169" i="10" s="1"/>
  <c r="F168" i="10"/>
  <c r="T168" i="10" s="1"/>
  <c r="F163" i="10"/>
  <c r="F162" i="10"/>
  <c r="S162" i="10" s="1"/>
  <c r="F161" i="10"/>
  <c r="T161" i="10" s="1"/>
  <c r="F160" i="10"/>
  <c r="T160" i="10" s="1"/>
  <c r="G160" i="10"/>
  <c r="F159" i="10"/>
  <c r="G159" i="10" s="1"/>
  <c r="W159" i="10" s="1"/>
  <c r="F157" i="10"/>
  <c r="F156" i="10"/>
  <c r="G156" i="10"/>
  <c r="F155" i="10"/>
  <c r="G155" i="10" s="1"/>
  <c r="F154" i="10"/>
  <c r="G154" i="10" s="1"/>
  <c r="F153" i="10"/>
  <c r="S153" i="10" s="1"/>
  <c r="F151" i="10"/>
  <c r="G151" i="10" s="1"/>
  <c r="F150" i="10"/>
  <c r="S150" i="10" s="1"/>
  <c r="F149" i="10"/>
  <c r="G149" i="10" s="1"/>
  <c r="F148" i="10"/>
  <c r="S148" i="10" s="1"/>
  <c r="F147" i="10"/>
  <c r="S147" i="10" s="1"/>
  <c r="F145" i="10"/>
  <c r="G145" i="10" s="1"/>
  <c r="F144" i="10"/>
  <c r="F143" i="10"/>
  <c r="F142" i="10"/>
  <c r="T142" i="10" s="1"/>
  <c r="F141" i="10"/>
  <c r="G141" i="10" s="1"/>
  <c r="F139" i="10"/>
  <c r="T139" i="10" s="1"/>
  <c r="F138" i="10"/>
  <c r="S138" i="10" s="1"/>
  <c r="F137" i="10"/>
  <c r="T137" i="10" s="1"/>
  <c r="F136" i="10"/>
  <c r="F135" i="10"/>
  <c r="F133" i="10"/>
  <c r="F132" i="10"/>
  <c r="S132" i="10" s="1"/>
  <c r="F131" i="10"/>
  <c r="S131" i="10" s="1"/>
  <c r="F130" i="10"/>
  <c r="F129" i="10"/>
  <c r="T129" i="10" s="1"/>
  <c r="F127" i="10"/>
  <c r="S127" i="10" s="1"/>
  <c r="F126" i="10"/>
  <c r="S126" i="10" s="1"/>
  <c r="F125" i="10"/>
  <c r="G125" i="10" s="1"/>
  <c r="F124" i="10"/>
  <c r="T124" i="10" s="1"/>
  <c r="F123" i="10"/>
  <c r="G123" i="10" s="1"/>
  <c r="F121" i="10"/>
  <c r="S121" i="10" s="1"/>
  <c r="F120" i="10"/>
  <c r="S120" i="10" s="1"/>
  <c r="F119" i="10"/>
  <c r="T119" i="10" s="1"/>
  <c r="F118" i="10"/>
  <c r="S118" i="10" s="1"/>
  <c r="F117" i="10"/>
  <c r="S117" i="10" s="1"/>
  <c r="F115" i="10"/>
  <c r="F114" i="10"/>
  <c r="S114" i="10" s="1"/>
  <c r="F113" i="10"/>
  <c r="F112" i="10"/>
  <c r="G112" i="10" s="1"/>
  <c r="F110" i="10"/>
  <c r="F108" i="10"/>
  <c r="S108" i="10"/>
  <c r="F107" i="10"/>
  <c r="F106" i="10"/>
  <c r="T106" i="10" s="1"/>
  <c r="F105" i="10"/>
  <c r="F104" i="10"/>
  <c r="G104" i="10" s="1"/>
  <c r="F96" i="10"/>
  <c r="T96" i="10" s="1"/>
  <c r="F95" i="10"/>
  <c r="T95" i="10" s="1"/>
  <c r="F94" i="10"/>
  <c r="T94" i="10" s="1"/>
  <c r="F93" i="10"/>
  <c r="F92" i="10"/>
  <c r="S92" i="10" s="1"/>
  <c r="F91" i="10"/>
  <c r="S91" i="10" s="1"/>
  <c r="T91" i="10" s="1"/>
  <c r="F88" i="10"/>
  <c r="F87" i="10"/>
  <c r="G87" i="10"/>
  <c r="F86" i="10"/>
  <c r="T85" i="10"/>
  <c r="F85" i="10"/>
  <c r="S85" i="10" s="1"/>
  <c r="F84" i="10"/>
  <c r="F83" i="10"/>
  <c r="F81" i="10"/>
  <c r="S81" i="10" s="1"/>
  <c r="F71" i="10"/>
  <c r="F57" i="10"/>
  <c r="F42" i="10"/>
  <c r="F28" i="10"/>
  <c r="F73" i="10" s="1"/>
  <c r="T81" i="3"/>
  <c r="S81" i="3"/>
  <c r="X177" i="4"/>
  <c r="Z122" i="4"/>
  <c r="Z147" i="4"/>
  <c r="Z149" i="4"/>
  <c r="Z156" i="4"/>
  <c r="Z164" i="4"/>
  <c r="Z171" i="4"/>
  <c r="X191" i="4"/>
  <c r="X189" i="4"/>
  <c r="X187" i="4"/>
  <c r="X186" i="4"/>
  <c r="X185" i="4"/>
  <c r="X183" i="4"/>
  <c r="X182" i="4"/>
  <c r="X181" i="4"/>
  <c r="X172" i="4"/>
  <c r="X165" i="4"/>
  <c r="X157" i="4"/>
  <c r="X149" i="4"/>
  <c r="Y149" i="4" s="1"/>
  <c r="X148" i="4"/>
  <c r="X139" i="4"/>
  <c r="X132" i="4"/>
  <c r="X129" i="4"/>
  <c r="X126" i="4"/>
  <c r="X123" i="4"/>
  <c r="X112" i="4"/>
  <c r="X110" i="4"/>
  <c r="X109" i="4"/>
  <c r="X108" i="4"/>
  <c r="X107" i="4"/>
  <c r="X106" i="4"/>
  <c r="X105" i="4"/>
  <c r="X104" i="4"/>
  <c r="X103" i="4"/>
  <c r="X102" i="4"/>
  <c r="X101" i="4"/>
  <c r="X98" i="4"/>
  <c r="X90" i="4"/>
  <c r="X82" i="4"/>
  <c r="X83" i="4"/>
  <c r="X84" i="4"/>
  <c r="X85" i="4"/>
  <c r="X86" i="4"/>
  <c r="X87" i="4"/>
  <c r="X88" i="4"/>
  <c r="X89" i="4"/>
  <c r="Y89" i="4" s="1"/>
  <c r="X91" i="4"/>
  <c r="X92" i="4"/>
  <c r="X93" i="4"/>
  <c r="X94" i="4"/>
  <c r="X95" i="4"/>
  <c r="X96" i="4"/>
  <c r="X115" i="4"/>
  <c r="X116" i="4"/>
  <c r="X117" i="4"/>
  <c r="X118" i="4"/>
  <c r="X119" i="4"/>
  <c r="X120" i="4"/>
  <c r="X121" i="4"/>
  <c r="X122" i="4"/>
  <c r="Y122" i="4" s="1"/>
  <c r="X127" i="4"/>
  <c r="X128" i="4"/>
  <c r="X130" i="4"/>
  <c r="X131" i="4"/>
  <c r="X133" i="4"/>
  <c r="X134" i="4"/>
  <c r="X135" i="4"/>
  <c r="X136" i="4"/>
  <c r="X137" i="4"/>
  <c r="X142" i="4"/>
  <c r="X143" i="4"/>
  <c r="X144" i="4"/>
  <c r="X145" i="4"/>
  <c r="X146" i="4"/>
  <c r="X147" i="4"/>
  <c r="Y147" i="4" s="1"/>
  <c r="X152" i="4"/>
  <c r="X153" i="4"/>
  <c r="X154" i="4"/>
  <c r="X155" i="4"/>
  <c r="X156" i="4"/>
  <c r="Y156" i="4" s="1"/>
  <c r="X160" i="4"/>
  <c r="X161" i="4"/>
  <c r="X162" i="4"/>
  <c r="X163" i="4"/>
  <c r="X164" i="4"/>
  <c r="Y164" i="4" s="1"/>
  <c r="X168" i="4"/>
  <c r="X169" i="4"/>
  <c r="X170" i="4"/>
  <c r="X171" i="4"/>
  <c r="Y171" i="4" s="1"/>
  <c r="X81" i="4"/>
  <c r="W89" i="4"/>
  <c r="W122" i="4"/>
  <c r="W147" i="4"/>
  <c r="W149" i="4"/>
  <c r="W156" i="4"/>
  <c r="W164" i="4"/>
  <c r="W171" i="4"/>
  <c r="V89" i="4"/>
  <c r="V122" i="4"/>
  <c r="V147" i="4"/>
  <c r="V149" i="4"/>
  <c r="V156" i="4"/>
  <c r="V164" i="4"/>
  <c r="V171" i="4"/>
  <c r="F168" i="7"/>
  <c r="F167" i="7"/>
  <c r="F166" i="7"/>
  <c r="T166" i="7" s="1"/>
  <c r="F165" i="7"/>
  <c r="S165" i="7" s="1"/>
  <c r="F164" i="7"/>
  <c r="S164" i="7" s="1"/>
  <c r="F162" i="7"/>
  <c r="S162" i="7" s="1"/>
  <c r="F161" i="7"/>
  <c r="T161" i="7" s="1"/>
  <c r="F160" i="7"/>
  <c r="G160" i="7" s="1"/>
  <c r="W160" i="7" s="1"/>
  <c r="F159" i="7"/>
  <c r="F158" i="7"/>
  <c r="T158" i="7" s="1"/>
  <c r="F156" i="7"/>
  <c r="T156" i="7" s="1"/>
  <c r="F155" i="7"/>
  <c r="S155" i="7" s="1"/>
  <c r="F154" i="7"/>
  <c r="T154" i="7" s="1"/>
  <c r="F153" i="7"/>
  <c r="F152" i="7"/>
  <c r="F150" i="7"/>
  <c r="T150" i="7" s="1"/>
  <c r="F149" i="7"/>
  <c r="G149" i="7" s="1"/>
  <c r="F148" i="7"/>
  <c r="F147" i="7"/>
  <c r="S147" i="7" s="1"/>
  <c r="F146" i="7"/>
  <c r="F144" i="7"/>
  <c r="F143" i="7"/>
  <c r="F142" i="7"/>
  <c r="T142" i="7" s="1"/>
  <c r="F141" i="7"/>
  <c r="F140" i="7"/>
  <c r="T140" i="7" s="1"/>
  <c r="F133" i="7"/>
  <c r="F132" i="7"/>
  <c r="F128" i="7"/>
  <c r="F127" i="7"/>
  <c r="S127" i="7" s="1"/>
  <c r="F126" i="7"/>
  <c r="F125" i="7"/>
  <c r="F123" i="7"/>
  <c r="F122" i="7"/>
  <c r="T122" i="7" s="1"/>
  <c r="F121" i="7"/>
  <c r="T121" i="7" s="1"/>
  <c r="F120" i="7"/>
  <c r="F119" i="7"/>
  <c r="T119" i="7" s="1"/>
  <c r="F117" i="7"/>
  <c r="S117" i="7" s="1"/>
  <c r="T117" i="7" s="1"/>
  <c r="F116" i="7"/>
  <c r="F115" i="7"/>
  <c r="F113" i="7"/>
  <c r="F111" i="7"/>
  <c r="T111" i="7" s="1"/>
  <c r="F110" i="7"/>
  <c r="G110" i="7" s="1"/>
  <c r="W110" i="7" s="1"/>
  <c r="F108" i="7"/>
  <c r="G108" i="7" s="1"/>
  <c r="F107" i="7"/>
  <c r="F170" i="6"/>
  <c r="T170" i="6" s="1"/>
  <c r="F169" i="6"/>
  <c r="S169" i="6" s="1"/>
  <c r="F168" i="6"/>
  <c r="F167" i="6"/>
  <c r="T167" i="6" s="1"/>
  <c r="F166" i="6"/>
  <c r="T166" i="6" s="1"/>
  <c r="F164" i="6"/>
  <c r="F163" i="6"/>
  <c r="S163" i="6" s="1"/>
  <c r="F162" i="6"/>
  <c r="T162" i="6" s="1"/>
  <c r="F161" i="6"/>
  <c r="F160" i="6"/>
  <c r="F158" i="6"/>
  <c r="F157" i="6"/>
  <c r="F156" i="6"/>
  <c r="T156" i="6" s="1"/>
  <c r="F155" i="6"/>
  <c r="S155" i="6" s="1"/>
  <c r="F154" i="6"/>
  <c r="T154" i="6" s="1"/>
  <c r="F144" i="6"/>
  <c r="F143" i="6"/>
  <c r="S143" i="6" s="1"/>
  <c r="F142" i="6"/>
  <c r="F141" i="6"/>
  <c r="S141" i="6" s="1"/>
  <c r="F140" i="6"/>
  <c r="F138" i="6"/>
  <c r="F137" i="6"/>
  <c r="S137" i="6" s="1"/>
  <c r="F136" i="6"/>
  <c r="S136" i="6" s="1"/>
  <c r="F135" i="6"/>
  <c r="S135" i="6" s="1"/>
  <c r="F134" i="6"/>
  <c r="T134" i="6" s="1"/>
  <c r="F132" i="6"/>
  <c r="F131" i="6"/>
  <c r="F130" i="6"/>
  <c r="F129" i="6"/>
  <c r="S129" i="6" s="1"/>
  <c r="F128" i="6"/>
  <c r="F126" i="6"/>
  <c r="T126" i="6" s="1"/>
  <c r="F125" i="6"/>
  <c r="S125" i="6"/>
  <c r="F124" i="6"/>
  <c r="F123" i="6"/>
  <c r="S123" i="6" s="1"/>
  <c r="F122" i="6"/>
  <c r="S122" i="6"/>
  <c r="F120" i="6"/>
  <c r="F119" i="6"/>
  <c r="F118" i="6"/>
  <c r="T118" i="6" s="1"/>
  <c r="F117" i="6"/>
  <c r="F116" i="6"/>
  <c r="T116" i="6" s="1"/>
  <c r="F114" i="6"/>
  <c r="T114" i="6" s="1"/>
  <c r="F113" i="6"/>
  <c r="F112" i="6"/>
  <c r="F111" i="6"/>
  <c r="S111" i="6" s="1"/>
  <c r="F110" i="6"/>
  <c r="F108" i="6"/>
  <c r="F107" i="6"/>
  <c r="F106" i="6"/>
  <c r="T106" i="6" s="1"/>
  <c r="F105" i="6"/>
  <c r="F104" i="6"/>
  <c r="F175" i="5"/>
  <c r="G175" i="5" s="1"/>
  <c r="F174" i="5"/>
  <c r="F173" i="5"/>
  <c r="G173" i="5" s="1"/>
  <c r="W173" i="5" s="1"/>
  <c r="F172" i="5"/>
  <c r="T172" i="5" s="1"/>
  <c r="F171" i="5"/>
  <c r="G171" i="5" s="1"/>
  <c r="F169" i="5"/>
  <c r="T169" i="5" s="1"/>
  <c r="F168" i="5"/>
  <c r="T168" i="5" s="1"/>
  <c r="F167" i="5"/>
  <c r="T167" i="5" s="1"/>
  <c r="F166" i="5"/>
  <c r="G166" i="5" s="1"/>
  <c r="W166" i="5" s="1"/>
  <c r="F165" i="5"/>
  <c r="F163" i="5"/>
  <c r="T163" i="5" s="1"/>
  <c r="F162" i="5"/>
  <c r="T162" i="5" s="1"/>
  <c r="F161" i="5"/>
  <c r="F160" i="5"/>
  <c r="T160" i="5" s="1"/>
  <c r="F159" i="5"/>
  <c r="T159" i="5" s="1"/>
  <c r="F157" i="5"/>
  <c r="G157" i="5" s="1"/>
  <c r="W157" i="5" s="1"/>
  <c r="F156" i="5"/>
  <c r="T156" i="5" s="1"/>
  <c r="F155" i="5"/>
  <c r="F154" i="5"/>
  <c r="S154" i="5" s="1"/>
  <c r="T154" i="5" s="1"/>
  <c r="F153" i="5"/>
  <c r="F130" i="5"/>
  <c r="F129" i="5"/>
  <c r="G129" i="5" s="1"/>
  <c r="G128" i="5"/>
  <c r="F126" i="5"/>
  <c r="F125" i="5"/>
  <c r="G125" i="5" s="1"/>
  <c r="F124" i="5"/>
  <c r="F123" i="5"/>
  <c r="S123" i="5" s="1"/>
  <c r="F122" i="5"/>
  <c r="F120" i="5"/>
  <c r="F119" i="5"/>
  <c r="F118" i="5"/>
  <c r="S118" i="5" s="1"/>
  <c r="F117" i="5"/>
  <c r="S117" i="5" s="1"/>
  <c r="F116" i="5"/>
  <c r="T116" i="5" s="1"/>
  <c r="F114" i="5"/>
  <c r="T114" i="5" s="1"/>
  <c r="F113" i="5"/>
  <c r="T113" i="5" s="1"/>
  <c r="F112" i="5"/>
  <c r="T112" i="5" s="1"/>
  <c r="F111" i="5"/>
  <c r="S111" i="5" s="1"/>
  <c r="F110" i="5"/>
  <c r="F108" i="5"/>
  <c r="S108" i="5" s="1"/>
  <c r="F107" i="5"/>
  <c r="S107" i="5" s="1"/>
  <c r="F106" i="5"/>
  <c r="T106" i="5" s="1"/>
  <c r="F105" i="5"/>
  <c r="G105" i="5" s="1"/>
  <c r="W105" i="5" s="1"/>
  <c r="F104" i="5"/>
  <c r="F162" i="2"/>
  <c r="T162" i="2" s="1"/>
  <c r="F161" i="2"/>
  <c r="G161" i="2" s="1"/>
  <c r="W161" i="2" s="1"/>
  <c r="F160" i="2"/>
  <c r="G160" i="2" s="1"/>
  <c r="W160" i="2" s="1"/>
  <c r="F159" i="2"/>
  <c r="F158" i="2"/>
  <c r="T158" i="2" s="1"/>
  <c r="F156" i="2"/>
  <c r="T156" i="2" s="1"/>
  <c r="F155" i="2"/>
  <c r="F154" i="2"/>
  <c r="S154" i="2" s="1"/>
  <c r="F153" i="2"/>
  <c r="S153" i="2" s="1"/>
  <c r="F152" i="2"/>
  <c r="S152" i="2" s="1"/>
  <c r="F150" i="2"/>
  <c r="G150" i="2" s="1"/>
  <c r="W150" i="2" s="1"/>
  <c r="F149" i="2"/>
  <c r="S149" i="2" s="1"/>
  <c r="F148" i="2"/>
  <c r="T148" i="2" s="1"/>
  <c r="F147" i="2"/>
  <c r="S147" i="2" s="1"/>
  <c r="F146" i="2"/>
  <c r="T146" i="2" s="1"/>
  <c r="F144" i="2"/>
  <c r="G144" i="2" s="1"/>
  <c r="F143" i="2"/>
  <c r="F142" i="2"/>
  <c r="F141" i="2"/>
  <c r="S141" i="2" s="1"/>
  <c r="F140" i="2"/>
  <c r="F138" i="2"/>
  <c r="F137" i="2"/>
  <c r="G137" i="2" s="1"/>
  <c r="W137" i="2" s="1"/>
  <c r="F136" i="2"/>
  <c r="S136" i="2" s="1"/>
  <c r="F135" i="2"/>
  <c r="G135" i="2" s="1"/>
  <c r="W135" i="2" s="1"/>
  <c r="F134" i="2"/>
  <c r="T134" i="2" s="1"/>
  <c r="F132" i="2"/>
  <c r="F131" i="2"/>
  <c r="F130" i="2"/>
  <c r="S130" i="2" s="1"/>
  <c r="F129" i="2"/>
  <c r="S129" i="2" s="1"/>
  <c r="T129" i="2" s="1"/>
  <c r="F128" i="2"/>
  <c r="F126" i="2"/>
  <c r="S126" i="2" s="1"/>
  <c r="F125" i="2"/>
  <c r="G125" i="2" s="1"/>
  <c r="W125" i="2" s="1"/>
  <c r="F124" i="2"/>
  <c r="F123" i="2"/>
  <c r="S123" i="2" s="1"/>
  <c r="F122" i="2"/>
  <c r="T122" i="2" s="1"/>
  <c r="F120" i="2"/>
  <c r="S120" i="2" s="1"/>
  <c r="F119" i="2"/>
  <c r="S119" i="2" s="1"/>
  <c r="F118" i="2"/>
  <c r="S118" i="2" s="1"/>
  <c r="F117" i="2"/>
  <c r="T117" i="2" s="1"/>
  <c r="F116" i="2"/>
  <c r="S116" i="2" s="1"/>
  <c r="F114" i="2"/>
  <c r="S114" i="2" s="1"/>
  <c r="F113" i="2"/>
  <c r="F112" i="2"/>
  <c r="S112" i="2" s="1"/>
  <c r="F111" i="2"/>
  <c r="T111" i="2" s="1"/>
  <c r="F110" i="2"/>
  <c r="G110" i="2" s="1"/>
  <c r="F108" i="2"/>
  <c r="T108" i="2" s="1"/>
  <c r="F107" i="2"/>
  <c r="S107" i="2" s="1"/>
  <c r="F106" i="2"/>
  <c r="F105" i="2"/>
  <c r="F104" i="2"/>
  <c r="G104" i="2" s="1"/>
  <c r="F166" i="3"/>
  <c r="S166" i="3" s="1"/>
  <c r="F167" i="3"/>
  <c r="G167" i="3" s="1"/>
  <c r="F168" i="3"/>
  <c r="T168" i="3" s="1"/>
  <c r="F169" i="3"/>
  <c r="T169" i="3" s="1"/>
  <c r="G169" i="3"/>
  <c r="W169" i="3" s="1"/>
  <c r="F165" i="3"/>
  <c r="T165" i="3" s="1"/>
  <c r="F160" i="3"/>
  <c r="S160" i="3" s="1"/>
  <c r="F161" i="3"/>
  <c r="F162" i="3"/>
  <c r="F163" i="3"/>
  <c r="T163" i="3" s="1"/>
  <c r="F159" i="3"/>
  <c r="F154" i="3"/>
  <c r="T154" i="3" s="1"/>
  <c r="F155" i="3"/>
  <c r="T155" i="3" s="1"/>
  <c r="F156" i="3"/>
  <c r="G156" i="3" s="1"/>
  <c r="W156" i="3" s="1"/>
  <c r="F157" i="3"/>
  <c r="F153" i="3"/>
  <c r="G153" i="3" s="1"/>
  <c r="F145" i="3"/>
  <c r="S145" i="3" s="1"/>
  <c r="F146" i="3"/>
  <c r="S146" i="3" s="1"/>
  <c r="T146" i="3" s="1"/>
  <c r="F147" i="3"/>
  <c r="S147" i="3" s="1"/>
  <c r="F134" i="3"/>
  <c r="F135" i="3"/>
  <c r="S135" i="3" s="1"/>
  <c r="F136" i="3"/>
  <c r="G136" i="3" s="1"/>
  <c r="F137" i="3"/>
  <c r="G137" i="3" s="1"/>
  <c r="F133" i="3"/>
  <c r="G133" i="3" s="1"/>
  <c r="F128" i="3"/>
  <c r="S128" i="3" s="1"/>
  <c r="F129" i="3"/>
  <c r="G129" i="3" s="1"/>
  <c r="F130" i="3"/>
  <c r="S130" i="3" s="1"/>
  <c r="F131" i="3"/>
  <c r="G131" i="3" s="1"/>
  <c r="F127" i="3"/>
  <c r="G127" i="3" s="1"/>
  <c r="F122" i="3"/>
  <c r="G122" i="3" s="1"/>
  <c r="F123" i="3"/>
  <c r="F124" i="3"/>
  <c r="G124" i="3" s="1"/>
  <c r="F125" i="3"/>
  <c r="G125" i="3" s="1"/>
  <c r="F121" i="3"/>
  <c r="S121" i="3" s="1"/>
  <c r="F116" i="3"/>
  <c r="T116" i="3" s="1"/>
  <c r="F117" i="3"/>
  <c r="S117" i="3" s="1"/>
  <c r="F118" i="3"/>
  <c r="S118" i="3" s="1"/>
  <c r="F119" i="3"/>
  <c r="T119" i="3" s="1"/>
  <c r="F115" i="3"/>
  <c r="F110" i="3"/>
  <c r="S110" i="3" s="1"/>
  <c r="F111" i="3"/>
  <c r="F112" i="3"/>
  <c r="T112" i="3" s="1"/>
  <c r="F113" i="3"/>
  <c r="S113" i="3" s="1"/>
  <c r="F109" i="3"/>
  <c r="S109" i="3" s="1"/>
  <c r="T109" i="3" s="1"/>
  <c r="F174" i="3"/>
  <c r="T174" i="3" s="1"/>
  <c r="F179" i="3"/>
  <c r="G179" i="3" s="1"/>
  <c r="F172" i="2"/>
  <c r="F185" i="5"/>
  <c r="G185" i="5" s="1"/>
  <c r="F180" i="6"/>
  <c r="S180" i="6" s="1"/>
  <c r="F178" i="7"/>
  <c r="F107" i="3"/>
  <c r="T107" i="3" s="1"/>
  <c r="F106" i="3"/>
  <c r="T106" i="3" s="1"/>
  <c r="S106" i="3"/>
  <c r="F105" i="3"/>
  <c r="G105" i="3" s="1"/>
  <c r="V105" i="3" s="1"/>
  <c r="F104" i="3"/>
  <c r="G143" i="7"/>
  <c r="W143" i="7"/>
  <c r="C4" i="6"/>
  <c r="G147" i="6" s="1"/>
  <c r="U121" i="2"/>
  <c r="F265" i="7"/>
  <c r="G265" i="7" s="1"/>
  <c r="S257" i="7"/>
  <c r="F234" i="7"/>
  <c r="T234" i="7" s="1"/>
  <c r="F233" i="7"/>
  <c r="T233" i="7" s="1"/>
  <c r="F232" i="7"/>
  <c r="T232" i="7" s="1"/>
  <c r="F226" i="7"/>
  <c r="F224" i="7"/>
  <c r="S224" i="7" s="1"/>
  <c r="F223" i="7"/>
  <c r="F218" i="7"/>
  <c r="T218" i="7" s="1"/>
  <c r="F217" i="7"/>
  <c r="T217" i="7" s="1"/>
  <c r="F216" i="7"/>
  <c r="T216" i="7" s="1"/>
  <c r="F215" i="7"/>
  <c r="F209" i="7"/>
  <c r="F208" i="7"/>
  <c r="T208" i="7" s="1"/>
  <c r="F207" i="7"/>
  <c r="F206" i="7"/>
  <c r="F205" i="7"/>
  <c r="G205" i="7" s="1"/>
  <c r="G211" i="7" s="1"/>
  <c r="V211" i="7" s="1"/>
  <c r="F197" i="7"/>
  <c r="T197" i="7" s="1"/>
  <c r="F194" i="7"/>
  <c r="T194" i="7" s="1"/>
  <c r="F191" i="7"/>
  <c r="T191" i="7" s="1"/>
  <c r="F190" i="7"/>
  <c r="S190" i="7" s="1"/>
  <c r="T190" i="7" s="1"/>
  <c r="F187" i="7"/>
  <c r="F199" i="7" s="1"/>
  <c r="F179" i="7"/>
  <c r="S179" i="7" s="1"/>
  <c r="F177" i="7"/>
  <c r="F176" i="7"/>
  <c r="T176" i="7" s="1"/>
  <c r="F175" i="7"/>
  <c r="T175" i="7" s="1"/>
  <c r="F174" i="7"/>
  <c r="G174" i="7" s="1"/>
  <c r="W174" i="7" s="1"/>
  <c r="F173" i="7"/>
  <c r="S173" i="7" s="1"/>
  <c r="F88" i="7"/>
  <c r="G88" i="7" s="1"/>
  <c r="W88" i="7" s="1"/>
  <c r="F87" i="7"/>
  <c r="T87" i="7" s="1"/>
  <c r="F86" i="7"/>
  <c r="T86" i="7" s="1"/>
  <c r="F85" i="7"/>
  <c r="T85" i="7" s="1"/>
  <c r="F81" i="7"/>
  <c r="T81" i="7" s="1"/>
  <c r="F71" i="7"/>
  <c r="F57" i="7"/>
  <c r="F42" i="7"/>
  <c r="F28" i="7"/>
  <c r="F268" i="6"/>
  <c r="T268" i="6" s="1"/>
  <c r="F259" i="6"/>
  <c r="F258" i="6"/>
  <c r="F250" i="6"/>
  <c r="S250" i="6" s="1"/>
  <c r="T250" i="6" s="1"/>
  <c r="F249" i="6"/>
  <c r="F248" i="6"/>
  <c r="F234" i="6"/>
  <c r="T234" i="6" s="1"/>
  <c r="F233" i="6"/>
  <c r="S233" i="6" s="1"/>
  <c r="F232" i="6"/>
  <c r="F227" i="6"/>
  <c r="F226" i="6"/>
  <c r="F225" i="6"/>
  <c r="F224" i="6"/>
  <c r="F219" i="6"/>
  <c r="S219" i="6" s="1"/>
  <c r="F218" i="6"/>
  <c r="F217" i="6"/>
  <c r="S217" i="6" s="1"/>
  <c r="F216" i="6"/>
  <c r="S216" i="6" s="1"/>
  <c r="F208" i="6"/>
  <c r="F207" i="6"/>
  <c r="S207" i="6" s="1"/>
  <c r="F206" i="6"/>
  <c r="S206" i="6" s="1"/>
  <c r="F198" i="6"/>
  <c r="T198" i="6" s="1"/>
  <c r="F197" i="6"/>
  <c r="T197" i="6" s="1"/>
  <c r="F196" i="6"/>
  <c r="F202" i="6" s="1"/>
  <c r="F195" i="6"/>
  <c r="F194" i="6"/>
  <c r="T194" i="6" s="1"/>
  <c r="F192" i="6"/>
  <c r="T192" i="6" s="1"/>
  <c r="F191" i="6"/>
  <c r="T191" i="6" s="1"/>
  <c r="F189" i="6"/>
  <c r="S189" i="6" s="1"/>
  <c r="F188" i="6"/>
  <c r="S188" i="6" s="1"/>
  <c r="F182" i="6"/>
  <c r="F181" i="6"/>
  <c r="F179" i="6"/>
  <c r="F178" i="6"/>
  <c r="F177" i="6"/>
  <c r="T177" i="6" s="1"/>
  <c r="F176" i="6"/>
  <c r="F175" i="6"/>
  <c r="S175" i="6" s="1"/>
  <c r="F96" i="6"/>
  <c r="F95" i="6"/>
  <c r="F94" i="6"/>
  <c r="F93" i="6"/>
  <c r="S93" i="6" s="1"/>
  <c r="F92" i="6"/>
  <c r="F91" i="6"/>
  <c r="F88" i="6"/>
  <c r="S88" i="6" s="1"/>
  <c r="F87" i="6"/>
  <c r="S87" i="6" s="1"/>
  <c r="F86" i="6"/>
  <c r="F85" i="6"/>
  <c r="S85" i="6" s="1"/>
  <c r="F84" i="6"/>
  <c r="F83" i="6"/>
  <c r="S83" i="6" s="1"/>
  <c r="F81" i="6"/>
  <c r="F71" i="6"/>
  <c r="F57" i="6"/>
  <c r="F42" i="6"/>
  <c r="F28" i="6"/>
  <c r="F271" i="5"/>
  <c r="F269" i="5"/>
  <c r="S269" i="5" s="1"/>
  <c r="T269" i="5" s="1"/>
  <c r="F265" i="5"/>
  <c r="F241" i="5"/>
  <c r="G241" i="5" s="1"/>
  <c r="W241" i="5" s="1"/>
  <c r="S240" i="5"/>
  <c r="F239" i="5"/>
  <c r="T239" i="5" s="1"/>
  <c r="F234" i="5"/>
  <c r="F233" i="5"/>
  <c r="G233" i="5" s="1"/>
  <c r="W233" i="5" s="1"/>
  <c r="F232" i="5"/>
  <c r="F231" i="5"/>
  <c r="G231" i="5" s="1"/>
  <c r="F226" i="5"/>
  <c r="S226" i="5" s="1"/>
  <c r="T226" i="5"/>
  <c r="F225" i="5"/>
  <c r="G225" i="5" s="1"/>
  <c r="W225" i="5" s="1"/>
  <c r="F224" i="5"/>
  <c r="S224" i="5" s="1"/>
  <c r="F223" i="5"/>
  <c r="G223" i="5" s="1"/>
  <c r="F215" i="5"/>
  <c r="F214" i="5"/>
  <c r="G214" i="5" s="1"/>
  <c r="F213" i="5"/>
  <c r="F212" i="5"/>
  <c r="S212" i="5" s="1"/>
  <c r="F211" i="5"/>
  <c r="F203" i="5"/>
  <c r="S203" i="5" s="1"/>
  <c r="F202" i="5"/>
  <c r="F201" i="5"/>
  <c r="T201" i="5" s="1"/>
  <c r="F200" i="5"/>
  <c r="S200" i="5" s="1"/>
  <c r="F199" i="5"/>
  <c r="F197" i="5"/>
  <c r="T197" i="5" s="1"/>
  <c r="F196" i="5"/>
  <c r="F194" i="5"/>
  <c r="F193" i="5"/>
  <c r="G193" i="5" s="1"/>
  <c r="F187" i="5"/>
  <c r="S187" i="5" s="1"/>
  <c r="T187" i="5" s="1"/>
  <c r="F186" i="5"/>
  <c r="F184" i="5"/>
  <c r="F183" i="5"/>
  <c r="T183" i="5" s="1"/>
  <c r="F182" i="5"/>
  <c r="F181" i="5"/>
  <c r="G181" i="5" s="1"/>
  <c r="F180" i="5"/>
  <c r="T180" i="5" s="1"/>
  <c r="F96" i="5"/>
  <c r="T96" i="5" s="1"/>
  <c r="F92" i="5"/>
  <c r="F91" i="5"/>
  <c r="S91" i="5" s="1"/>
  <c r="F88" i="5"/>
  <c r="T88" i="5" s="1"/>
  <c r="F87" i="5"/>
  <c r="F86" i="5"/>
  <c r="T86" i="5" s="1"/>
  <c r="F85" i="5"/>
  <c r="F84" i="5"/>
  <c r="F83" i="5"/>
  <c r="F81" i="5"/>
  <c r="F71" i="5"/>
  <c r="F57" i="5"/>
  <c r="F42" i="5"/>
  <c r="F28" i="5"/>
  <c r="I191" i="4"/>
  <c r="I189" i="4"/>
  <c r="V189" i="4" s="1"/>
  <c r="I187" i="4"/>
  <c r="I186" i="4"/>
  <c r="W186" i="4"/>
  <c r="I185" i="4"/>
  <c r="I183" i="4"/>
  <c r="J183" i="4" s="1"/>
  <c r="I182" i="4"/>
  <c r="I181" i="4"/>
  <c r="J181" i="4" s="1"/>
  <c r="I170" i="4"/>
  <c r="I169" i="4"/>
  <c r="I168" i="4"/>
  <c r="I163" i="4"/>
  <c r="I162" i="4"/>
  <c r="I161" i="4"/>
  <c r="I160" i="4"/>
  <c r="J160" i="4" s="1"/>
  <c r="Z160" i="4" s="1"/>
  <c r="I155" i="4"/>
  <c r="I154" i="4"/>
  <c r="J154" i="4" s="1"/>
  <c r="Z154" i="4" s="1"/>
  <c r="I153" i="4"/>
  <c r="J153" i="4" s="1"/>
  <c r="Y153" i="4" s="1"/>
  <c r="I152" i="4"/>
  <c r="I146" i="4"/>
  <c r="I145" i="4"/>
  <c r="I144" i="4"/>
  <c r="W144" i="4" s="1"/>
  <c r="I143" i="4"/>
  <c r="J143" i="4" s="1"/>
  <c r="I142" i="4"/>
  <c r="I137" i="4"/>
  <c r="I136" i="4"/>
  <c r="I135" i="4"/>
  <c r="I134" i="4"/>
  <c r="V134" i="4" s="1"/>
  <c r="I133" i="4"/>
  <c r="I131" i="4"/>
  <c r="V131" i="4" s="1"/>
  <c r="I130" i="4"/>
  <c r="J130" i="4" s="1"/>
  <c r="Z130" i="4" s="1"/>
  <c r="I128" i="4"/>
  <c r="J128" i="4" s="1"/>
  <c r="Y128" i="4" s="1"/>
  <c r="I127" i="4"/>
  <c r="V127" i="4" s="1"/>
  <c r="I121" i="4"/>
  <c r="W121" i="4" s="1"/>
  <c r="I120" i="4"/>
  <c r="W120" i="4" s="1"/>
  <c r="I119" i="4"/>
  <c r="I118" i="4"/>
  <c r="I117" i="4"/>
  <c r="J117" i="4" s="1"/>
  <c r="Z117" i="4" s="1"/>
  <c r="I116" i="4"/>
  <c r="I115" i="4"/>
  <c r="I96" i="4"/>
  <c r="I95" i="4"/>
  <c r="I94" i="4"/>
  <c r="I93" i="4"/>
  <c r="I92" i="4"/>
  <c r="I91" i="4"/>
  <c r="I88" i="4"/>
  <c r="I87" i="4"/>
  <c r="I86" i="4"/>
  <c r="I85" i="4"/>
  <c r="W85" i="4" s="1"/>
  <c r="I84" i="4"/>
  <c r="I83" i="4"/>
  <c r="V83" i="4" s="1"/>
  <c r="I71" i="4"/>
  <c r="J70" i="4"/>
  <c r="J69" i="4"/>
  <c r="J68" i="4"/>
  <c r="J67" i="4"/>
  <c r="J66" i="4"/>
  <c r="J65" i="4"/>
  <c r="J64" i="4"/>
  <c r="J63" i="4"/>
  <c r="J62" i="4"/>
  <c r="J61" i="4"/>
  <c r="I57" i="4"/>
  <c r="J56" i="4"/>
  <c r="J55" i="4"/>
  <c r="J54" i="4"/>
  <c r="J53" i="4"/>
  <c r="J52" i="4"/>
  <c r="J51" i="4"/>
  <c r="J50" i="4"/>
  <c r="J49" i="4"/>
  <c r="J48" i="4"/>
  <c r="J43" i="4"/>
  <c r="I42" i="4"/>
  <c r="J41" i="4"/>
  <c r="J40" i="4"/>
  <c r="J39" i="4"/>
  <c r="J38" i="4"/>
  <c r="J37" i="4"/>
  <c r="J36" i="4"/>
  <c r="J35" i="4"/>
  <c r="J34" i="4"/>
  <c r="J33" i="4"/>
  <c r="J32" i="4"/>
  <c r="J42" i="4" s="1"/>
  <c r="I28" i="4"/>
  <c r="J27" i="4"/>
  <c r="J26" i="4"/>
  <c r="J25" i="4"/>
  <c r="J24" i="4"/>
  <c r="J23" i="4"/>
  <c r="J22" i="4"/>
  <c r="J21" i="4"/>
  <c r="J20" i="4"/>
  <c r="J19" i="4"/>
  <c r="J18" i="4"/>
  <c r="F262" i="3"/>
  <c r="T262" i="3" s="1"/>
  <c r="F260" i="3"/>
  <c r="F258" i="3"/>
  <c r="G258" i="3" s="1"/>
  <c r="F257" i="3"/>
  <c r="S257" i="3" s="1"/>
  <c r="F256" i="3"/>
  <c r="F252" i="3"/>
  <c r="F251" i="3"/>
  <c r="G251" i="3" s="1"/>
  <c r="F237" i="3"/>
  <c r="T237" i="3" s="1"/>
  <c r="F236" i="3"/>
  <c r="F235" i="3"/>
  <c r="S235" i="3" s="1"/>
  <c r="F230" i="3"/>
  <c r="G230" i="3" s="1"/>
  <c r="F229" i="3"/>
  <c r="G229" i="3" s="1"/>
  <c r="F228" i="3"/>
  <c r="F227" i="3"/>
  <c r="F222" i="3"/>
  <c r="G222" i="3" s="1"/>
  <c r="F221" i="3"/>
  <c r="S221" i="3" s="1"/>
  <c r="F220" i="3"/>
  <c r="G220" i="3" s="1"/>
  <c r="W220" i="3" s="1"/>
  <c r="F219" i="3"/>
  <c r="T219" i="3" s="1"/>
  <c r="F213" i="3"/>
  <c r="S213" i="3" s="1"/>
  <c r="T213" i="3" s="1"/>
  <c r="F212" i="3"/>
  <c r="S212" i="3" s="1"/>
  <c r="F211" i="3"/>
  <c r="S211" i="3" s="1"/>
  <c r="F210" i="3"/>
  <c r="T210" i="3" s="1"/>
  <c r="F209" i="3"/>
  <c r="T209" i="3" s="1"/>
  <c r="F201" i="3"/>
  <c r="F200" i="3"/>
  <c r="F199" i="3"/>
  <c r="S199" i="3" s="1"/>
  <c r="F198" i="3"/>
  <c r="S198" i="3" s="1"/>
  <c r="F197" i="3"/>
  <c r="F195" i="3"/>
  <c r="F194" i="3"/>
  <c r="S194" i="3" s="1"/>
  <c r="F192" i="3"/>
  <c r="G192" i="3" s="1"/>
  <c r="F191" i="3"/>
  <c r="F181" i="3"/>
  <c r="G181" i="3" s="1"/>
  <c r="F180" i="3"/>
  <c r="F178" i="3"/>
  <c r="G178" i="3" s="1"/>
  <c r="F177" i="3"/>
  <c r="S177" i="3" s="1"/>
  <c r="F176" i="3"/>
  <c r="S176" i="3" s="1"/>
  <c r="F175" i="3"/>
  <c r="S175" i="3" s="1"/>
  <c r="F96" i="3"/>
  <c r="F95" i="3"/>
  <c r="T95" i="3" s="1"/>
  <c r="F94" i="3"/>
  <c r="F93" i="3"/>
  <c r="F92" i="3"/>
  <c r="S92" i="3" s="1"/>
  <c r="F91" i="3"/>
  <c r="F88" i="3"/>
  <c r="F87" i="3"/>
  <c r="S87" i="3" s="1"/>
  <c r="F86" i="3"/>
  <c r="F85" i="3"/>
  <c r="S85" i="3" s="1"/>
  <c r="F84" i="3"/>
  <c r="T84" i="3" s="1"/>
  <c r="F83" i="3"/>
  <c r="F71" i="3"/>
  <c r="F57" i="3"/>
  <c r="F42" i="3"/>
  <c r="F28" i="3"/>
  <c r="F71" i="2"/>
  <c r="F57" i="2"/>
  <c r="F42" i="2"/>
  <c r="F28" i="2"/>
  <c r="F250" i="2"/>
  <c r="G250" i="2" s="1"/>
  <c r="F248" i="2"/>
  <c r="S248" i="2" s="1"/>
  <c r="F245" i="2"/>
  <c r="G245" i="2" s="1"/>
  <c r="F246" i="2"/>
  <c r="S246" i="2" s="1"/>
  <c r="T246" i="2" s="1"/>
  <c r="F244" i="2"/>
  <c r="S244" i="2" s="1"/>
  <c r="F225" i="2"/>
  <c r="T225" i="2" s="1"/>
  <c r="F226" i="2"/>
  <c r="S226" i="2" s="1"/>
  <c r="F224" i="2"/>
  <c r="T224" i="2" s="1"/>
  <c r="F217" i="2"/>
  <c r="F218" i="2"/>
  <c r="S218" i="2" s="1"/>
  <c r="F219" i="2"/>
  <c r="G219" i="2" s="1"/>
  <c r="F216" i="2"/>
  <c r="F209" i="2"/>
  <c r="S209" i="2" s="1"/>
  <c r="F210" i="2"/>
  <c r="T210" i="2" s="1"/>
  <c r="F211" i="2"/>
  <c r="S211" i="2" s="1"/>
  <c r="F208" i="2"/>
  <c r="T208" i="2" s="1"/>
  <c r="F202" i="2"/>
  <c r="G202" i="2" s="1"/>
  <c r="F199" i="2"/>
  <c r="F200" i="2"/>
  <c r="T200" i="2" s="1"/>
  <c r="F201" i="2"/>
  <c r="S201" i="2" s="1"/>
  <c r="F198" i="2"/>
  <c r="F187" i="2"/>
  <c r="S187" i="2" s="1"/>
  <c r="F188" i="2"/>
  <c r="T188" i="2" s="1"/>
  <c r="F189" i="2"/>
  <c r="S189" i="2" s="1"/>
  <c r="F190" i="2"/>
  <c r="F186" i="2"/>
  <c r="S186" i="2" s="1"/>
  <c r="F184" i="2"/>
  <c r="F193" i="2" s="1"/>
  <c r="F183" i="2"/>
  <c r="F181" i="2"/>
  <c r="G181" i="2" s="1"/>
  <c r="W181" i="2" s="1"/>
  <c r="F180" i="2"/>
  <c r="S180" i="2" s="1"/>
  <c r="F168" i="2"/>
  <c r="S168" i="2" s="1"/>
  <c r="F169" i="2"/>
  <c r="T169" i="2" s="1"/>
  <c r="F170" i="2"/>
  <c r="T170" i="2" s="1"/>
  <c r="F171" i="2"/>
  <c r="T171" i="2" s="1"/>
  <c r="F173" i="2"/>
  <c r="S173" i="2" s="1"/>
  <c r="F174" i="2"/>
  <c r="G174" i="2" s="1"/>
  <c r="F167" i="2"/>
  <c r="G167" i="2" s="1"/>
  <c r="W167" i="2" s="1"/>
  <c r="F92" i="2"/>
  <c r="F93" i="2"/>
  <c r="F94" i="2"/>
  <c r="S94" i="2" s="1"/>
  <c r="F95" i="2"/>
  <c r="G95" i="2" s="1"/>
  <c r="W95" i="2" s="1"/>
  <c r="F96" i="2"/>
  <c r="S96" i="2" s="1"/>
  <c r="F91" i="2"/>
  <c r="S91" i="2" s="1"/>
  <c r="T91" i="2" s="1"/>
  <c r="F84" i="2"/>
  <c r="F85" i="2"/>
  <c r="S85" i="2" s="1"/>
  <c r="F86" i="2"/>
  <c r="T86" i="2" s="1"/>
  <c r="F87" i="2"/>
  <c r="S87" i="2" s="1"/>
  <c r="F88" i="2"/>
  <c r="G88" i="2" s="1"/>
  <c r="W88" i="2" s="1"/>
  <c r="F83" i="2"/>
  <c r="T83" i="2" s="1"/>
  <c r="F81" i="2"/>
  <c r="U258" i="3"/>
  <c r="U154" i="5"/>
  <c r="U124" i="3"/>
  <c r="U105" i="3"/>
  <c r="U180" i="3"/>
  <c r="U167" i="3"/>
  <c r="U213" i="3"/>
  <c r="U100" i="5"/>
  <c r="U271" i="5"/>
  <c r="U273" i="5"/>
  <c r="U223" i="5"/>
  <c r="U96" i="5"/>
  <c r="G201" i="5"/>
  <c r="W201" i="5" s="1"/>
  <c r="G195" i="3"/>
  <c r="W195" i="3" s="1"/>
  <c r="G39" i="3"/>
  <c r="G41" i="3"/>
  <c r="G27" i="5"/>
  <c r="U240" i="5"/>
  <c r="U86" i="5"/>
  <c r="U236" i="5"/>
  <c r="U84" i="5"/>
  <c r="U156" i="5"/>
  <c r="U189" i="5"/>
  <c r="G33" i="5"/>
  <c r="G39" i="5"/>
  <c r="G55" i="5"/>
  <c r="G41" i="5"/>
  <c r="U106" i="5"/>
  <c r="U184" i="5"/>
  <c r="U104" i="5"/>
  <c r="U83" i="5"/>
  <c r="U215" i="5"/>
  <c r="U126" i="5"/>
  <c r="U91" i="5"/>
  <c r="U181" i="5"/>
  <c r="G20" i="5"/>
  <c r="U117" i="2"/>
  <c r="S199" i="2"/>
  <c r="T199" i="2" s="1"/>
  <c r="S150" i="2"/>
  <c r="G41" i="2"/>
  <c r="U120" i="3"/>
  <c r="U109" i="3"/>
  <c r="U158" i="3"/>
  <c r="U194" i="3"/>
  <c r="U93" i="3"/>
  <c r="U224" i="3"/>
  <c r="U152" i="3"/>
  <c r="U176" i="3"/>
  <c r="U159" i="3"/>
  <c r="U98" i="3"/>
  <c r="G34" i="3"/>
  <c r="G18" i="3"/>
  <c r="U141" i="2"/>
  <c r="U144" i="2"/>
  <c r="U81" i="2"/>
  <c r="U81" i="7"/>
  <c r="U84" i="7"/>
  <c r="U190" i="7"/>
  <c r="U145" i="7"/>
  <c r="G18" i="7"/>
  <c r="G128" i="7"/>
  <c r="U161" i="7"/>
  <c r="G142" i="7"/>
  <c r="G64" i="7"/>
  <c r="U159" i="7"/>
  <c r="J120" i="4"/>
  <c r="V121" i="4"/>
  <c r="U129" i="10"/>
  <c r="V117" i="4"/>
  <c r="W88" i="4"/>
  <c r="J88" i="4"/>
  <c r="V88" i="4"/>
  <c r="W115" i="4"/>
  <c r="J115" i="4"/>
  <c r="V115" i="4"/>
  <c r="G224" i="7"/>
  <c r="W224" i="7" s="1"/>
  <c r="U91" i="7"/>
  <c r="U99" i="7"/>
  <c r="U170" i="7"/>
  <c r="U107" i="7"/>
  <c r="U166" i="7"/>
  <c r="U101" i="7"/>
  <c r="U191" i="7"/>
  <c r="U102" i="7"/>
  <c r="U197" i="7"/>
  <c r="U224" i="7"/>
  <c r="U94" i="11"/>
  <c r="G33" i="11"/>
  <c r="J93" i="4"/>
  <c r="V120" i="4"/>
  <c r="V116" i="4"/>
  <c r="U99" i="5"/>
  <c r="U124" i="5"/>
  <c r="U96" i="10"/>
  <c r="U117" i="5"/>
  <c r="U153" i="5"/>
  <c r="V87" i="4"/>
  <c r="T105" i="11"/>
  <c r="T84" i="11"/>
  <c r="S84" i="11"/>
  <c r="T94" i="11"/>
  <c r="G129" i="11"/>
  <c r="W129" i="11"/>
  <c r="U210" i="11"/>
  <c r="U145" i="11"/>
  <c r="U209" i="11"/>
  <c r="G21" i="11"/>
  <c r="G18" i="11"/>
  <c r="G50" i="11"/>
  <c r="U128" i="11"/>
  <c r="S136" i="11"/>
  <c r="S148" i="11"/>
  <c r="T130" i="11"/>
  <c r="T138" i="11"/>
  <c r="T150" i="11"/>
  <c r="T158" i="11"/>
  <c r="S168" i="11"/>
  <c r="S201" i="11"/>
  <c r="T201" i="11"/>
  <c r="S226" i="11"/>
  <c r="S210" i="11"/>
  <c r="T210" i="11" s="1"/>
  <c r="S244" i="11"/>
  <c r="T244" i="11" s="1"/>
  <c r="S250" i="11"/>
  <c r="S83" i="10"/>
  <c r="T93" i="10"/>
  <c r="S93" i="10"/>
  <c r="T125" i="10"/>
  <c r="U257" i="10"/>
  <c r="U249" i="10"/>
  <c r="U187" i="10"/>
  <c r="U253" i="10"/>
  <c r="U212" i="10"/>
  <c r="U204" i="10"/>
  <c r="U169" i="10"/>
  <c r="U191" i="10"/>
  <c r="G172" i="10"/>
  <c r="W172" i="10"/>
  <c r="W171" i="10"/>
  <c r="U151" i="10"/>
  <c r="U265" i="10"/>
  <c r="U156" i="10"/>
  <c r="U136" i="10"/>
  <c r="U228" i="10"/>
  <c r="U170" i="10"/>
  <c r="U150" i="10"/>
  <c r="U142" i="10"/>
  <c r="U130" i="10"/>
  <c r="U122" i="10"/>
  <c r="G119" i="10"/>
  <c r="W119" i="10" s="1"/>
  <c r="U114" i="10"/>
  <c r="U88" i="10"/>
  <c r="G85" i="10"/>
  <c r="W85" i="10" s="1"/>
  <c r="G61" i="10"/>
  <c r="G47" i="10"/>
  <c r="G41" i="10"/>
  <c r="G23" i="10"/>
  <c r="U243" i="10"/>
  <c r="U227" i="10"/>
  <c r="U202" i="10"/>
  <c r="U165" i="10"/>
  <c r="W155" i="10"/>
  <c r="U124" i="10"/>
  <c r="U214" i="10"/>
  <c r="V214" i="10" s="1"/>
  <c r="U147" i="10"/>
  <c r="U127" i="10"/>
  <c r="U115" i="10"/>
  <c r="U110" i="10"/>
  <c r="U95" i="10"/>
  <c r="G68" i="10"/>
  <c r="G43" i="10"/>
  <c r="G32" i="10"/>
  <c r="G26" i="10"/>
  <c r="U146" i="10"/>
  <c r="U137" i="10"/>
  <c r="U145" i="10"/>
  <c r="U121" i="10"/>
  <c r="U117" i="10"/>
  <c r="U83" i="10"/>
  <c r="G52" i="10"/>
  <c r="G34" i="10"/>
  <c r="G147" i="10"/>
  <c r="W147" i="10" s="1"/>
  <c r="U107" i="10"/>
  <c r="G67" i="10"/>
  <c r="U221" i="10"/>
  <c r="U125" i="10"/>
  <c r="G63" i="10"/>
  <c r="U190" i="10"/>
  <c r="U133" i="10"/>
  <c r="S205" i="10"/>
  <c r="G86" i="10"/>
  <c r="T154" i="10"/>
  <c r="S104" i="10"/>
  <c r="T108" i="10"/>
  <c r="S129" i="10"/>
  <c r="G150" i="10"/>
  <c r="T150" i="10"/>
  <c r="S255" i="10"/>
  <c r="T255" i="10" s="1"/>
  <c r="G259" i="10"/>
  <c r="S171" i="10"/>
  <c r="G184" i="10"/>
  <c r="S214" i="10"/>
  <c r="S220" i="10"/>
  <c r="S256" i="10"/>
  <c r="T256" i="10" s="1"/>
  <c r="Z115" i="4"/>
  <c r="U104" i="10"/>
  <c r="V104" i="10" s="1"/>
  <c r="U81" i="10"/>
  <c r="G108" i="10"/>
  <c r="W108" i="10" s="1"/>
  <c r="G20" i="10"/>
  <c r="G25" i="10"/>
  <c r="G93" i="10"/>
  <c r="W93" i="10" s="1"/>
  <c r="U222" i="10"/>
  <c r="U203" i="10"/>
  <c r="U179" i="10"/>
  <c r="U168" i="10"/>
  <c r="U224" i="10"/>
  <c r="U198" i="10"/>
  <c r="U173" i="10"/>
  <c r="G222" i="10"/>
  <c r="U186" i="10"/>
  <c r="U163" i="10"/>
  <c r="U255" i="10"/>
  <c r="U160" i="10"/>
  <c r="V160" i="10" s="1"/>
  <c r="U148" i="10"/>
  <c r="U207" i="10"/>
  <c r="U184" i="10"/>
  <c r="U157" i="10"/>
  <c r="U139" i="10"/>
  <c r="G56" i="10"/>
  <c r="G38" i="10"/>
  <c r="U229" i="10"/>
  <c r="U197" i="10"/>
  <c r="U231" i="10"/>
  <c r="U193" i="10"/>
  <c r="U263" i="10"/>
  <c r="U159" i="10"/>
  <c r="U213" i="10"/>
  <c r="G187" i="10"/>
  <c r="V187" i="10" s="1"/>
  <c r="U152" i="10"/>
  <c r="U161" i="10"/>
  <c r="G135" i="10"/>
  <c r="G127" i="10"/>
  <c r="W127" i="10" s="1"/>
  <c r="U105" i="10"/>
  <c r="U94" i="10"/>
  <c r="U84" i="10"/>
  <c r="G55" i="10"/>
  <c r="G37" i="10"/>
  <c r="G19" i="10"/>
  <c r="G214" i="10"/>
  <c r="W214" i="10" s="1"/>
  <c r="U175" i="10"/>
  <c r="U116" i="10"/>
  <c r="U162" i="10"/>
  <c r="U149" i="10"/>
  <c r="U141" i="10"/>
  <c r="U123" i="10"/>
  <c r="V123" i="10" s="1"/>
  <c r="U106" i="10"/>
  <c r="U91" i="10"/>
  <c r="G64" i="10"/>
  <c r="G40" i="10"/>
  <c r="G22" i="10"/>
  <c r="U135" i="10"/>
  <c r="U98" i="10"/>
  <c r="G70" i="10"/>
  <c r="G24" i="10"/>
  <c r="U103" i="10"/>
  <c r="G49" i="10"/>
  <c r="U113" i="10"/>
  <c r="G219" i="10"/>
  <c r="U112" i="10"/>
  <c r="U86" i="10"/>
  <c r="U108" i="10"/>
  <c r="G53" i="10"/>
  <c r="U216" i="10"/>
  <c r="U192" i="10"/>
  <c r="U172" i="10"/>
  <c r="V172" i="10" s="1"/>
  <c r="U219" i="10"/>
  <c r="U189" i="10"/>
  <c r="G168" i="10"/>
  <c r="U155" i="10"/>
  <c r="V155" i="10" s="1"/>
  <c r="U205" i="10"/>
  <c r="U144" i="10"/>
  <c r="U239" i="10"/>
  <c r="U195" i="10"/>
  <c r="U153" i="10"/>
  <c r="U134" i="10"/>
  <c r="U126" i="10"/>
  <c r="U118" i="10"/>
  <c r="U109" i="10"/>
  <c r="U99" i="10"/>
  <c r="G91" i="10"/>
  <c r="G69" i="10"/>
  <c r="G51" i="10"/>
  <c r="G33" i="10"/>
  <c r="U256" i="10"/>
  <c r="U132" i="10"/>
  <c r="U220" i="10"/>
  <c r="U158" i="10"/>
  <c r="G148" i="10"/>
  <c r="W148" i="10" s="1"/>
  <c r="U138" i="10"/>
  <c r="U119" i="10"/>
  <c r="U85" i="10"/>
  <c r="G54" i="10"/>
  <c r="G36" i="10"/>
  <c r="G18" i="10"/>
  <c r="U120" i="10"/>
  <c r="U93" i="10"/>
  <c r="V93" i="10" s="1"/>
  <c r="G62" i="10"/>
  <c r="G256" i="10"/>
  <c r="G84" i="10"/>
  <c r="G39" i="10"/>
  <c r="G138" i="10"/>
  <c r="W138" i="10" s="1"/>
  <c r="G35" i="10"/>
  <c r="U143" i="10"/>
  <c r="G132" i="10"/>
  <c r="W132" i="10" s="1"/>
  <c r="G143" i="10"/>
  <c r="W143" i="10"/>
  <c r="G255" i="10"/>
  <c r="V255" i="10" s="1"/>
  <c r="W255" i="10" s="1"/>
  <c r="G212" i="10"/>
  <c r="G169" i="10"/>
  <c r="W169" i="10" s="1"/>
  <c r="G191" i="10"/>
  <c r="W191" i="10" s="1"/>
  <c r="G124" i="10"/>
  <c r="G48" i="10"/>
  <c r="G21" i="10"/>
  <c r="U87" i="10"/>
  <c r="U171" i="10"/>
  <c r="G50" i="10"/>
  <c r="U100" i="10"/>
  <c r="U131" i="10"/>
  <c r="U154" i="10"/>
  <c r="U128" i="10"/>
  <c r="G27" i="10"/>
  <c r="G65" i="10"/>
  <c r="G115" i="10"/>
  <c r="W115" i="10" s="1"/>
  <c r="U174" i="10"/>
  <c r="U140" i="10"/>
  <c r="U201" i="10"/>
  <c r="U196" i="10"/>
  <c r="U183" i="10"/>
  <c r="U259" i="10"/>
  <c r="U211" i="10"/>
  <c r="G66" i="10"/>
  <c r="U92" i="10"/>
  <c r="U172" i="2"/>
  <c r="G38" i="2"/>
  <c r="U202" i="2"/>
  <c r="U187" i="2"/>
  <c r="G64" i="2"/>
  <c r="U138" i="2"/>
  <c r="U193" i="2"/>
  <c r="U84" i="11"/>
  <c r="G27" i="11"/>
  <c r="G61" i="11"/>
  <c r="G91" i="11"/>
  <c r="G114" i="11"/>
  <c r="W114" i="11" s="1"/>
  <c r="G130" i="11"/>
  <c r="U204" i="11"/>
  <c r="U246" i="11"/>
  <c r="U167" i="11"/>
  <c r="U169" i="11"/>
  <c r="U125" i="11"/>
  <c r="U221" i="11"/>
  <c r="U142" i="11"/>
  <c r="U139" i="11"/>
  <c r="U127" i="11"/>
  <c r="U86" i="11"/>
  <c r="G43" i="11"/>
  <c r="U91" i="11"/>
  <c r="U140" i="11"/>
  <c r="G117" i="11"/>
  <c r="W117" i="11" s="1"/>
  <c r="G32" i="11"/>
  <c r="U103" i="11"/>
  <c r="U147" i="11"/>
  <c r="U180" i="11"/>
  <c r="U228" i="11"/>
  <c r="G159" i="11"/>
  <c r="W159" i="11" s="1"/>
  <c r="G210" i="11"/>
  <c r="U202" i="11"/>
  <c r="U176" i="11"/>
  <c r="U208" i="11"/>
  <c r="U120" i="11"/>
  <c r="G20" i="11"/>
  <c r="U99" i="11"/>
  <c r="G55" i="11"/>
  <c r="G54" i="2"/>
  <c r="G25" i="2"/>
  <c r="U245" i="2"/>
  <c r="U110" i="2"/>
  <c r="V110" i="2" s="1"/>
  <c r="W110" i="2" s="1"/>
  <c r="G48" i="2"/>
  <c r="U228" i="5"/>
  <c r="U214" i="5"/>
  <c r="U161" i="5"/>
  <c r="U103" i="5"/>
  <c r="U133" i="5"/>
  <c r="U183" i="5"/>
  <c r="U94" i="5"/>
  <c r="U128" i="5"/>
  <c r="U158" i="5"/>
  <c r="U256" i="5"/>
  <c r="U114" i="5"/>
  <c r="U200" i="5"/>
  <c r="U264" i="5"/>
  <c r="G68" i="5"/>
  <c r="U202" i="5"/>
  <c r="U116" i="5"/>
  <c r="U87" i="5"/>
  <c r="U164" i="5"/>
  <c r="U232" i="5"/>
  <c r="U157" i="5"/>
  <c r="U177" i="5"/>
  <c r="U265" i="5"/>
  <c r="G25" i="5"/>
  <c r="G61" i="5"/>
  <c r="G38" i="5"/>
  <c r="G18" i="5"/>
  <c r="G21" i="5"/>
  <c r="U208" i="5"/>
  <c r="U135" i="5"/>
  <c r="U255" i="5"/>
  <c r="U111" i="5"/>
  <c r="U162" i="5"/>
  <c r="G49" i="5"/>
  <c r="G53" i="5"/>
  <c r="G23" i="5"/>
  <c r="U239" i="5"/>
  <c r="U85" i="5"/>
  <c r="U120" i="5"/>
  <c r="U251" i="5"/>
  <c r="U131" i="5"/>
  <c r="G43" i="5"/>
  <c r="U181" i="3"/>
  <c r="V181" i="3" s="1"/>
  <c r="W181" i="3" s="1"/>
  <c r="U87" i="3"/>
  <c r="U116" i="3"/>
  <c r="U156" i="3"/>
  <c r="U201" i="3"/>
  <c r="U121" i="3"/>
  <c r="U161" i="3"/>
  <c r="U130" i="3"/>
  <c r="U257" i="3"/>
  <c r="U195" i="3"/>
  <c r="U262" i="3"/>
  <c r="U203" i="3"/>
  <c r="U88" i="3"/>
  <c r="U111" i="3"/>
  <c r="G32" i="3"/>
  <c r="V186" i="4"/>
  <c r="V182" i="4"/>
  <c r="J186" i="4"/>
  <c r="Y186" i="4" s="1"/>
  <c r="S121" i="14"/>
  <c r="T164" i="14"/>
  <c r="S109" i="14"/>
  <c r="S163" i="14"/>
  <c r="T109" i="14"/>
  <c r="T153" i="14"/>
  <c r="T186" i="14"/>
  <c r="S186" i="14"/>
  <c r="S85" i="14"/>
  <c r="T122" i="14"/>
  <c r="S122" i="14"/>
  <c r="S129" i="14"/>
  <c r="T213" i="14"/>
  <c r="T83" i="14"/>
  <c r="S227" i="14"/>
  <c r="T227" i="14" s="1"/>
  <c r="S172" i="14"/>
  <c r="T172" i="14"/>
  <c r="T184" i="14"/>
  <c r="F195" i="14"/>
  <c r="S195" i="14" s="1"/>
  <c r="T228" i="14"/>
  <c r="S84" i="13"/>
  <c r="G94" i="13"/>
  <c r="S94" i="13"/>
  <c r="G20" i="13"/>
  <c r="G38" i="13"/>
  <c r="G56" i="13"/>
  <c r="G62" i="13"/>
  <c r="U86" i="13"/>
  <c r="G87" i="13"/>
  <c r="W87" i="13" s="1"/>
  <c r="U96" i="13"/>
  <c r="U107" i="13"/>
  <c r="U115" i="13"/>
  <c r="G119" i="13"/>
  <c r="W119" i="13" s="1"/>
  <c r="S125" i="13"/>
  <c r="U149" i="13"/>
  <c r="G162" i="13"/>
  <c r="W162" i="13" s="1"/>
  <c r="U248" i="13"/>
  <c r="U240" i="13"/>
  <c r="U219" i="13"/>
  <c r="U194" i="13"/>
  <c r="U189" i="13"/>
  <c r="U171" i="13"/>
  <c r="G247" i="13"/>
  <c r="G218" i="13"/>
  <c r="W218" i="13" s="1"/>
  <c r="U217" i="13"/>
  <c r="U198" i="13"/>
  <c r="U192" i="13"/>
  <c r="U173" i="13"/>
  <c r="G248" i="13"/>
  <c r="V248" i="13" s="1"/>
  <c r="U236" i="13"/>
  <c r="U218" i="13"/>
  <c r="U193" i="13"/>
  <c r="U188" i="13"/>
  <c r="U183" i="13"/>
  <c r="U160" i="13"/>
  <c r="U156" i="13"/>
  <c r="U144" i="13"/>
  <c r="U136" i="13"/>
  <c r="U124" i="13"/>
  <c r="U120" i="13"/>
  <c r="U186" i="13"/>
  <c r="U162" i="13"/>
  <c r="U158" i="13"/>
  <c r="U146" i="13"/>
  <c r="U138" i="13"/>
  <c r="G131" i="13"/>
  <c r="W131" i="13" s="1"/>
  <c r="U249" i="13"/>
  <c r="U229" i="13"/>
  <c r="U222" i="13"/>
  <c r="U159" i="13"/>
  <c r="U151" i="13"/>
  <c r="U143" i="13"/>
  <c r="U135" i="13"/>
  <c r="U123" i="13"/>
  <c r="U119" i="13"/>
  <c r="G39" i="13"/>
  <c r="G53" i="13"/>
  <c r="G63" i="13"/>
  <c r="G96" i="13"/>
  <c r="W96" i="13" s="1"/>
  <c r="U106" i="13"/>
  <c r="U110" i="13"/>
  <c r="U125" i="13"/>
  <c r="G132" i="13"/>
  <c r="W132" i="13" s="1"/>
  <c r="G141" i="13"/>
  <c r="S141" i="13"/>
  <c r="T141" i="13" s="1"/>
  <c r="G161" i="13"/>
  <c r="W161" i="13"/>
  <c r="S161" i="13"/>
  <c r="S190" i="13"/>
  <c r="G225" i="13"/>
  <c r="G19" i="13"/>
  <c r="G27" i="13"/>
  <c r="G37" i="13"/>
  <c r="G47" i="13"/>
  <c r="G51" i="13"/>
  <c r="G65" i="13"/>
  <c r="G69" i="13"/>
  <c r="U83" i="13"/>
  <c r="U98" i="13"/>
  <c r="U104" i="13"/>
  <c r="U112" i="13"/>
  <c r="G137" i="13"/>
  <c r="W137" i="13" s="1"/>
  <c r="T137" i="13"/>
  <c r="T149" i="13"/>
  <c r="S149" i="13"/>
  <c r="U195" i="13"/>
  <c r="T162" i="13"/>
  <c r="G186" i="13"/>
  <c r="W186" i="13" s="1"/>
  <c r="T201" i="13"/>
  <c r="S216" i="13"/>
  <c r="T216" i="13" s="1"/>
  <c r="T169" i="13"/>
  <c r="G184" i="13"/>
  <c r="W184" i="13" s="1"/>
  <c r="T187" i="13"/>
  <c r="G174" i="13"/>
  <c r="G19" i="12"/>
  <c r="G23" i="12"/>
  <c r="G27" i="12"/>
  <c r="G33" i="12"/>
  <c r="G37" i="12"/>
  <c r="G41" i="12"/>
  <c r="G47" i="12"/>
  <c r="G51" i="12"/>
  <c r="G55" i="12"/>
  <c r="G61" i="12"/>
  <c r="G65" i="12"/>
  <c r="G69" i="12"/>
  <c r="U83" i="12"/>
  <c r="U87" i="12"/>
  <c r="V87" i="12" s="1"/>
  <c r="U107" i="12"/>
  <c r="U110" i="12"/>
  <c r="V110" i="12" s="1"/>
  <c r="U111" i="12"/>
  <c r="S121" i="12"/>
  <c r="U125" i="12"/>
  <c r="S127" i="12"/>
  <c r="T157" i="12"/>
  <c r="G168" i="12"/>
  <c r="W168" i="12" s="1"/>
  <c r="U169" i="12"/>
  <c r="U172" i="12"/>
  <c r="U176" i="12"/>
  <c r="U188" i="12"/>
  <c r="U199" i="12"/>
  <c r="S160" i="12"/>
  <c r="G160" i="12"/>
  <c r="G20" i="12"/>
  <c r="G24" i="12"/>
  <c r="G34" i="12"/>
  <c r="G38" i="12"/>
  <c r="G48" i="12"/>
  <c r="G52" i="12"/>
  <c r="G56" i="12"/>
  <c r="G62" i="12"/>
  <c r="G66" i="12"/>
  <c r="G70" i="12"/>
  <c r="U81" i="12"/>
  <c r="S84" i="12"/>
  <c r="U86" i="12"/>
  <c r="G91" i="12"/>
  <c r="U106" i="12"/>
  <c r="U113" i="12"/>
  <c r="U114" i="12"/>
  <c r="U119" i="12"/>
  <c r="U121" i="12"/>
  <c r="U122" i="12"/>
  <c r="G127" i="12"/>
  <c r="W127" i="12" s="1"/>
  <c r="U133" i="12"/>
  <c r="U165" i="12"/>
  <c r="U178" i="12"/>
  <c r="U187" i="12"/>
  <c r="U267" i="12"/>
  <c r="G261" i="12"/>
  <c r="U260" i="12"/>
  <c r="G256" i="12"/>
  <c r="U255" i="12"/>
  <c r="U242" i="12"/>
  <c r="U234" i="12"/>
  <c r="U228" i="12"/>
  <c r="U223" i="12"/>
  <c r="U215" i="12"/>
  <c r="U209" i="12"/>
  <c r="U204" i="12"/>
  <c r="U261" i="12"/>
  <c r="U256" i="12"/>
  <c r="U244" i="12"/>
  <c r="U237" i="12"/>
  <c r="U231" i="12"/>
  <c r="U224" i="12"/>
  <c r="U216" i="12"/>
  <c r="U210" i="12"/>
  <c r="U205" i="12"/>
  <c r="U201" i="12"/>
  <c r="U195" i="12"/>
  <c r="U186" i="12"/>
  <c r="U182" i="12"/>
  <c r="U265" i="12"/>
  <c r="U259" i="12"/>
  <c r="U251" i="12"/>
  <c r="U225" i="12"/>
  <c r="U217" i="12"/>
  <c r="U213" i="12"/>
  <c r="G204" i="12"/>
  <c r="U198" i="12"/>
  <c r="G188" i="12"/>
  <c r="U184" i="12"/>
  <c r="U174" i="12"/>
  <c r="U170" i="12"/>
  <c r="U166" i="12"/>
  <c r="U162" i="12"/>
  <c r="U158" i="12"/>
  <c r="U154" i="12"/>
  <c r="V154" i="12" s="1"/>
  <c r="U150" i="12"/>
  <c r="U232" i="12"/>
  <c r="U226" i="12"/>
  <c r="U219" i="12"/>
  <c r="U214" i="12"/>
  <c r="U196" i="12"/>
  <c r="U191" i="12"/>
  <c r="U183" i="12"/>
  <c r="U181" i="12"/>
  <c r="U175" i="12"/>
  <c r="U171" i="12"/>
  <c r="U167" i="12"/>
  <c r="U163" i="12"/>
  <c r="U159" i="12"/>
  <c r="U155" i="12"/>
  <c r="U151" i="12"/>
  <c r="U147" i="12"/>
  <c r="U132" i="12"/>
  <c r="U128" i="12"/>
  <c r="V128" i="12" s="1"/>
  <c r="U124" i="12"/>
  <c r="U120" i="12"/>
  <c r="U116" i="12"/>
  <c r="U112" i="12"/>
  <c r="U263" i="12"/>
  <c r="U240" i="12"/>
  <c r="U233" i="12"/>
  <c r="U207" i="12"/>
  <c r="U202" i="12"/>
  <c r="U257" i="12"/>
  <c r="U203" i="12"/>
  <c r="G201" i="12"/>
  <c r="U156" i="12"/>
  <c r="U152" i="12"/>
  <c r="U129" i="12"/>
  <c r="U127" i="12"/>
  <c r="U118" i="12"/>
  <c r="G114" i="12"/>
  <c r="W114" i="12" s="1"/>
  <c r="U108" i="12"/>
  <c r="U102" i="12"/>
  <c r="U94" i="12"/>
  <c r="U88" i="12"/>
  <c r="U241" i="12"/>
  <c r="G215" i="12"/>
  <c r="U168" i="12"/>
  <c r="U164" i="12"/>
  <c r="U160" i="12"/>
  <c r="U157" i="12"/>
  <c r="U153" i="12"/>
  <c r="U149" i="12"/>
  <c r="U148" i="12"/>
  <c r="U134" i="12"/>
  <c r="U126" i="12"/>
  <c r="U123" i="12"/>
  <c r="U117" i="12"/>
  <c r="U115" i="12"/>
  <c r="U109" i="12"/>
  <c r="U103" i="12"/>
  <c r="U95" i="12"/>
  <c r="U91" i="12"/>
  <c r="G21" i="12"/>
  <c r="G25" i="12"/>
  <c r="G35" i="12"/>
  <c r="G39" i="12"/>
  <c r="G49" i="12"/>
  <c r="G53" i="12"/>
  <c r="G63" i="12"/>
  <c r="G67" i="12"/>
  <c r="G81" i="12"/>
  <c r="I81" i="4" s="1"/>
  <c r="J81" i="4" s="1"/>
  <c r="U85" i="12"/>
  <c r="G86" i="12"/>
  <c r="W86" i="12" s="1"/>
  <c r="U93" i="12"/>
  <c r="U101" i="12"/>
  <c r="G161" i="12"/>
  <c r="W161" i="12" s="1"/>
  <c r="S164" i="12"/>
  <c r="G164" i="12"/>
  <c r="U173" i="12"/>
  <c r="T173" i="12"/>
  <c r="S213" i="12"/>
  <c r="G117" i="12"/>
  <c r="W117" i="12" s="1"/>
  <c r="G148" i="12"/>
  <c r="G225" i="12"/>
  <c r="T225" i="12"/>
  <c r="S263" i="12"/>
  <c r="G183" i="12"/>
  <c r="S146" i="14"/>
  <c r="S110" i="14"/>
  <c r="T88" i="14"/>
  <c r="S127" i="14"/>
  <c r="S171" i="14"/>
  <c r="S173" i="14"/>
  <c r="T229" i="14"/>
  <c r="F231" i="14"/>
  <c r="S231" i="14" s="1"/>
  <c r="S114" i="14"/>
  <c r="S158" i="14"/>
  <c r="S131" i="14"/>
  <c r="T131" i="14" s="1"/>
  <c r="S204" i="14"/>
  <c r="S243" i="14"/>
  <c r="T135" i="14"/>
  <c r="T85" i="14"/>
  <c r="S139" i="14"/>
  <c r="T139" i="14" s="1"/>
  <c r="T150" i="14"/>
  <c r="S150" i="14"/>
  <c r="T155" i="14"/>
  <c r="S175" i="14"/>
  <c r="T175" i="14" s="1"/>
  <c r="F196" i="14"/>
  <c r="T196" i="14" s="1"/>
  <c r="S203" i="14"/>
  <c r="T203" i="14" s="1"/>
  <c r="U203" i="14"/>
  <c r="S87" i="14"/>
  <c r="T152" i="14"/>
  <c r="S152" i="14"/>
  <c r="F207" i="14"/>
  <c r="S207" i="14" s="1"/>
  <c r="T207" i="14" s="1"/>
  <c r="S201" i="14"/>
  <c r="T201" i="14" s="1"/>
  <c r="T111" i="14"/>
  <c r="S111" i="14"/>
  <c r="S162" i="14"/>
  <c r="S176" i="14"/>
  <c r="T176" i="14" s="1"/>
  <c r="S191" i="14"/>
  <c r="T191" i="14" s="1"/>
  <c r="S164" i="14"/>
  <c r="T214" i="14"/>
  <c r="T202" i="14"/>
  <c r="T255" i="14"/>
  <c r="S84" i="14"/>
  <c r="S108" i="14"/>
  <c r="S116" i="14"/>
  <c r="S120" i="14"/>
  <c r="T120" i="14" s="1"/>
  <c r="S161" i="14"/>
  <c r="S165" i="14"/>
  <c r="S222" i="14"/>
  <c r="S143" i="13"/>
  <c r="S187" i="13"/>
  <c r="S227" i="13"/>
  <c r="G227" i="13"/>
  <c r="W227" i="13" s="1"/>
  <c r="T87" i="13"/>
  <c r="S93" i="13"/>
  <c r="T93" i="13" s="1"/>
  <c r="S96" i="13"/>
  <c r="T154" i="13"/>
  <c r="T217" i="13"/>
  <c r="T153" i="13"/>
  <c r="G129" i="13"/>
  <c r="W129" i="13" s="1"/>
  <c r="G217" i="13"/>
  <c r="G104" i="13"/>
  <c r="S135" i="13"/>
  <c r="S144" i="13"/>
  <c r="G158" i="13"/>
  <c r="S210" i="13"/>
  <c r="S208" i="13"/>
  <c r="G93" i="13"/>
  <c r="G40" i="13"/>
  <c r="G24" i="13"/>
  <c r="G70" i="13"/>
  <c r="U92" i="13"/>
  <c r="U103" i="13"/>
  <c r="U227" i="13"/>
  <c r="U200" i="13"/>
  <c r="U176" i="13"/>
  <c r="U225" i="13"/>
  <c r="U202" i="13"/>
  <c r="U187" i="13"/>
  <c r="U226" i="13"/>
  <c r="U199" i="13"/>
  <c r="U174" i="13"/>
  <c r="V174" i="13" s="1"/>
  <c r="W174" i="13" s="1"/>
  <c r="U148" i="13"/>
  <c r="U132" i="13"/>
  <c r="U241" i="13"/>
  <c r="U154" i="13"/>
  <c r="U122" i="13"/>
  <c r="U139" i="13"/>
  <c r="U127" i="13"/>
  <c r="G21" i="13"/>
  <c r="G81" i="13"/>
  <c r="W81" i="13" s="1"/>
  <c r="U91" i="13"/>
  <c r="U100" i="13"/>
  <c r="U133" i="13"/>
  <c r="G23" i="13"/>
  <c r="G41" i="13"/>
  <c r="U87" i="13"/>
  <c r="U108" i="13"/>
  <c r="G172" i="13"/>
  <c r="S104" i="13"/>
  <c r="S112" i="13"/>
  <c r="S132" i="13"/>
  <c r="T138" i="13"/>
  <c r="T144" i="13"/>
  <c r="S188" i="13"/>
  <c r="G202" i="13"/>
  <c r="T218" i="13"/>
  <c r="G105" i="13"/>
  <c r="W105" i="13" s="1"/>
  <c r="G249" i="13"/>
  <c r="S249" i="13"/>
  <c r="T249" i="13" s="1"/>
  <c r="G153" i="13"/>
  <c r="W153" i="13" s="1"/>
  <c r="T114" i="13"/>
  <c r="G117" i="13"/>
  <c r="W117" i="13" s="1"/>
  <c r="S105" i="13"/>
  <c r="T83" i="13"/>
  <c r="S123" i="13"/>
  <c r="T123" i="13" s="1"/>
  <c r="S159" i="13"/>
  <c r="T171" i="13"/>
  <c r="T174" i="13"/>
  <c r="T199" i="13"/>
  <c r="T210" i="13"/>
  <c r="S211" i="13"/>
  <c r="S219" i="13"/>
  <c r="T219" i="13" s="1"/>
  <c r="S240" i="13"/>
  <c r="T240" i="13" s="1"/>
  <c r="S253" i="13"/>
  <c r="T253" i="13" s="1"/>
  <c r="S209" i="13"/>
  <c r="T105" i="13"/>
  <c r="G123" i="13"/>
  <c r="G140" i="13"/>
  <c r="G121" i="12"/>
  <c r="W121" i="12"/>
  <c r="T121" i="12"/>
  <c r="G182" i="12"/>
  <c r="G257" i="12"/>
  <c r="S257" i="12"/>
  <c r="T257" i="12" s="1"/>
  <c r="T125" i="12"/>
  <c r="S125" i="12"/>
  <c r="S149" i="12"/>
  <c r="T149" i="12" s="1"/>
  <c r="S168" i="12"/>
  <c r="S83" i="12"/>
  <c r="S87" i="12"/>
  <c r="G125" i="12"/>
  <c r="W125" i="12"/>
  <c r="G83" i="12"/>
  <c r="S88" i="12"/>
  <c r="T120" i="12"/>
  <c r="T154" i="12"/>
  <c r="S261" i="12"/>
  <c r="T261" i="12"/>
  <c r="S173" i="12"/>
  <c r="S91" i="12"/>
  <c r="T91" i="12" s="1"/>
  <c r="T117" i="12"/>
  <c r="T110" i="12"/>
  <c r="S110" i="12"/>
  <c r="G162" i="12"/>
  <c r="W162" i="12" s="1"/>
  <c r="S242" i="12"/>
  <c r="T242" i="12"/>
  <c r="G242" i="12"/>
  <c r="V242" i="12" s="1"/>
  <c r="S94" i="12"/>
  <c r="T94" i="12" s="1"/>
  <c r="G94" i="12"/>
  <c r="T113" i="12"/>
  <c r="G113" i="12"/>
  <c r="W113" i="12" s="1"/>
  <c r="S255" i="12"/>
  <c r="T255" i="12" s="1"/>
  <c r="G255" i="12"/>
  <c r="G122" i="12"/>
  <c r="W122" i="12" s="1"/>
  <c r="G198" i="12"/>
  <c r="S132" i="12"/>
  <c r="T132" i="12" s="1"/>
  <c r="G132" i="12"/>
  <c r="S157" i="12"/>
  <c r="G157" i="12"/>
  <c r="V157" i="12" s="1"/>
  <c r="S204" i="12"/>
  <c r="T204" i="12" s="1"/>
  <c r="S108" i="12"/>
  <c r="T114" i="12"/>
  <c r="S131" i="12"/>
  <c r="S154" i="12"/>
  <c r="S170" i="12"/>
  <c r="S234" i="12"/>
  <c r="T126" i="11"/>
  <c r="T120" i="11"/>
  <c r="G162" i="11"/>
  <c r="W162" i="11" s="1"/>
  <c r="G143" i="11"/>
  <c r="W143" i="11" s="1"/>
  <c r="G245" i="11"/>
  <c r="T111" i="11"/>
  <c r="G152" i="11"/>
  <c r="T225" i="11"/>
  <c r="T245" i="11"/>
  <c r="U225" i="11"/>
  <c r="U173" i="11"/>
  <c r="U150" i="11"/>
  <c r="U115" i="11"/>
  <c r="G128" i="11"/>
  <c r="W128" i="11" s="1"/>
  <c r="U100" i="11"/>
  <c r="U96" i="11"/>
  <c r="U186" i="11"/>
  <c r="U183" i="11"/>
  <c r="G56" i="11"/>
  <c r="G51" i="11"/>
  <c r="S224" i="11"/>
  <c r="T142" i="11"/>
  <c r="U111" i="11"/>
  <c r="S156" i="11"/>
  <c r="G67" i="11"/>
  <c r="U121" i="11"/>
  <c r="U194" i="11"/>
  <c r="T107" i="11"/>
  <c r="G70" i="11"/>
  <c r="S111" i="11"/>
  <c r="G83" i="11"/>
  <c r="G123" i="11"/>
  <c r="F228" i="11"/>
  <c r="G106" i="11"/>
  <c r="T124" i="11"/>
  <c r="T144" i="11"/>
  <c r="T81" i="11"/>
  <c r="S87" i="11"/>
  <c r="S104" i="11"/>
  <c r="T104" i="11" s="1"/>
  <c r="S106" i="11"/>
  <c r="T106" i="11" s="1"/>
  <c r="T143" i="11"/>
  <c r="S147" i="11"/>
  <c r="G180" i="11"/>
  <c r="G134" i="11"/>
  <c r="G154" i="11"/>
  <c r="W154" i="11" s="1"/>
  <c r="T118" i="11"/>
  <c r="T152" i="11"/>
  <c r="S108" i="11"/>
  <c r="T168" i="11"/>
  <c r="S184" i="11"/>
  <c r="T184" i="11" s="1"/>
  <c r="S116" i="11"/>
  <c r="G186" i="10"/>
  <c r="T84" i="10"/>
  <c r="S84" i="10"/>
  <c r="T121" i="10"/>
  <c r="S135" i="10"/>
  <c r="T135" i="10" s="1"/>
  <c r="T143" i="10"/>
  <c r="S143" i="10"/>
  <c r="S170" i="10"/>
  <c r="S173" i="10"/>
  <c r="T201" i="10"/>
  <c r="S259" i="10"/>
  <c r="T259" i="10" s="1"/>
  <c r="W84" i="10"/>
  <c r="S141" i="10"/>
  <c r="T141" i="10" s="1"/>
  <c r="G126" i="10"/>
  <c r="W126" i="10" s="1"/>
  <c r="F207" i="10"/>
  <c r="S207" i="10" s="1"/>
  <c r="T104" i="10"/>
  <c r="G203" i="10"/>
  <c r="W203" i="10" s="1"/>
  <c r="S88" i="10"/>
  <c r="T133" i="10"/>
  <c r="S133" i="10"/>
  <c r="S160" i="10"/>
  <c r="S175" i="10"/>
  <c r="T175" i="10" s="1"/>
  <c r="S203" i="10"/>
  <c r="F122" i="10"/>
  <c r="S122" i="10" s="1"/>
  <c r="G92" i="10"/>
  <c r="V92" i="10" s="1"/>
  <c r="S142" i="10"/>
  <c r="T107" i="10"/>
  <c r="S123" i="10"/>
  <c r="T123" i="10" s="1"/>
  <c r="T151" i="10"/>
  <c r="S151" i="10"/>
  <c r="S168" i="10"/>
  <c r="S219" i="10"/>
  <c r="T219" i="10" s="1"/>
  <c r="G220" i="10"/>
  <c r="W220" i="10" s="1"/>
  <c r="G163" i="10"/>
  <c r="W163" i="10" s="1"/>
  <c r="T120" i="10"/>
  <c r="T132" i="10"/>
  <c r="T138" i="10"/>
  <c r="S187" i="10"/>
  <c r="U234" i="10"/>
  <c r="G183" i="10"/>
  <c r="V183" i="10" s="1"/>
  <c r="W183" i="10" s="1"/>
  <c r="G136" i="10"/>
  <c r="G227" i="10"/>
  <c r="G133" i="10"/>
  <c r="V133" i="10" s="1"/>
  <c r="S96" i="10"/>
  <c r="F98" i="10"/>
  <c r="T118" i="10"/>
  <c r="T130" i="10"/>
  <c r="T159" i="10"/>
  <c r="T172" i="10"/>
  <c r="G221" i="10"/>
  <c r="W221" i="10" s="1"/>
  <c r="G81" i="10"/>
  <c r="W81" i="10" s="1"/>
  <c r="G118" i="10"/>
  <c r="S221" i="10"/>
  <c r="G190" i="10"/>
  <c r="T81" i="10"/>
  <c r="S130" i="10"/>
  <c r="S136" i="10"/>
  <c r="S183" i="10"/>
  <c r="T183" i="10" s="1"/>
  <c r="T190" i="10"/>
  <c r="G96" i="10"/>
  <c r="G130" i="10"/>
  <c r="W130" i="10" s="1"/>
  <c r="S156" i="7"/>
  <c r="U215" i="7"/>
  <c r="U121" i="7"/>
  <c r="U253" i="7"/>
  <c r="V253" i="7" s="1"/>
  <c r="U216" i="7"/>
  <c r="U257" i="7"/>
  <c r="U193" i="7"/>
  <c r="G133" i="7"/>
  <c r="U94" i="7"/>
  <c r="G140" i="7"/>
  <c r="W140" i="7" s="1"/>
  <c r="G164" i="7"/>
  <c r="W164" i="7" s="1"/>
  <c r="U205" i="7"/>
  <c r="V205" i="7" s="1"/>
  <c r="U207" i="7"/>
  <c r="S107" i="7"/>
  <c r="T107" i="7" s="1"/>
  <c r="S123" i="7"/>
  <c r="S150" i="7"/>
  <c r="S158" i="7"/>
  <c r="S166" i="7"/>
  <c r="S205" i="7"/>
  <c r="T205" i="7" s="1"/>
  <c r="S125" i="7"/>
  <c r="S232" i="7"/>
  <c r="U229" i="7"/>
  <c r="U174" i="7"/>
  <c r="V174" i="7" s="1"/>
  <c r="U165" i="7"/>
  <c r="U248" i="7"/>
  <c r="U153" i="7"/>
  <c r="U150" i="7"/>
  <c r="U110" i="7"/>
  <c r="G54" i="7"/>
  <c r="G39" i="7"/>
  <c r="G191" i="7"/>
  <c r="V191" i="7" s="1"/>
  <c r="G206" i="7"/>
  <c r="S119" i="7"/>
  <c r="S154" i="7"/>
  <c r="S188" i="7"/>
  <c r="T188" i="7" s="1"/>
  <c r="S248" i="7"/>
  <c r="T248" i="7" s="1"/>
  <c r="S187" i="7"/>
  <c r="T120" i="7"/>
  <c r="S120" i="7"/>
  <c r="S128" i="7"/>
  <c r="T128" i="7" s="1"/>
  <c r="S206" i="7"/>
  <c r="T206" i="7" s="1"/>
  <c r="T147" i="7"/>
  <c r="S108" i="7"/>
  <c r="T108" i="7" s="1"/>
  <c r="S116" i="7"/>
  <c r="T116" i="7" s="1"/>
  <c r="S159" i="7"/>
  <c r="T167" i="7"/>
  <c r="S167" i="7"/>
  <c r="S191" i="7"/>
  <c r="S226" i="7"/>
  <c r="T226" i="7" s="1"/>
  <c r="S253" i="7"/>
  <c r="T253" i="7" s="1"/>
  <c r="T155" i="7"/>
  <c r="U265" i="7"/>
  <c r="G47" i="7"/>
  <c r="U124" i="7"/>
  <c r="G49" i="7"/>
  <c r="U255" i="7"/>
  <c r="G107" i="7"/>
  <c r="G36" i="7"/>
  <c r="U87" i="7"/>
  <c r="G34" i="7"/>
  <c r="U112" i="7"/>
  <c r="G55" i="7"/>
  <c r="U85" i="7"/>
  <c r="G158" i="7"/>
  <c r="W158" i="7" s="1"/>
  <c r="G35" i="7"/>
  <c r="G150" i="7"/>
  <c r="W150" i="7" s="1"/>
  <c r="U117" i="7"/>
  <c r="U183" i="7"/>
  <c r="G25" i="7"/>
  <c r="U147" i="7"/>
  <c r="G225" i="7"/>
  <c r="U109" i="7"/>
  <c r="G50" i="7"/>
  <c r="U260" i="7"/>
  <c r="V260" i="7" s="1"/>
  <c r="W260" i="7" s="1"/>
  <c r="S132" i="7"/>
  <c r="T132" i="7" s="1"/>
  <c r="T143" i="7"/>
  <c r="S143" i="7"/>
  <c r="S234" i="7"/>
  <c r="S262" i="7"/>
  <c r="T262" i="7" s="1"/>
  <c r="T173" i="7"/>
  <c r="F200" i="7"/>
  <c r="S200" i="7" s="1"/>
  <c r="S93" i="7"/>
  <c r="T93" i="7" s="1"/>
  <c r="S110" i="7"/>
  <c r="S114" i="7"/>
  <c r="T114" i="7" s="1"/>
  <c r="S122" i="7"/>
  <c r="S126" i="7"/>
  <c r="T126" i="7" s="1"/>
  <c r="S134" i="7"/>
  <c r="T134" i="7" s="1"/>
  <c r="S149" i="7"/>
  <c r="S161" i="7"/>
  <c r="S193" i="7"/>
  <c r="T193" i="7" s="1"/>
  <c r="S195" i="7"/>
  <c r="T195" i="7"/>
  <c r="S208" i="7"/>
  <c r="S216" i="7"/>
  <c r="S218" i="7"/>
  <c r="S249" i="7"/>
  <c r="T249" i="7" s="1"/>
  <c r="S260" i="7"/>
  <c r="T260" i="7" s="1"/>
  <c r="U169" i="6"/>
  <c r="G49" i="6"/>
  <c r="S131" i="6"/>
  <c r="T107" i="6"/>
  <c r="T225" i="6"/>
  <c r="G158" i="6"/>
  <c r="W158" i="6" s="1"/>
  <c r="T175" i="6"/>
  <c r="T195" i="6"/>
  <c r="T111" i="6"/>
  <c r="T157" i="6"/>
  <c r="S167" i="6"/>
  <c r="G61" i="6"/>
  <c r="T96" i="6"/>
  <c r="F200" i="6"/>
  <c r="S200" i="6" s="1"/>
  <c r="T188" i="6"/>
  <c r="S198" i="6"/>
  <c r="S209" i="6"/>
  <c r="T209" i="6"/>
  <c r="S268" i="6"/>
  <c r="T137" i="6"/>
  <c r="T217" i="6"/>
  <c r="T123" i="6"/>
  <c r="T155" i="6"/>
  <c r="T180" i="6"/>
  <c r="T263" i="6"/>
  <c r="S234" i="6"/>
  <c r="T112" i="6"/>
  <c r="S112" i="6"/>
  <c r="F109" i="6"/>
  <c r="S109" i="6" s="1"/>
  <c r="T136" i="6"/>
  <c r="T168" i="6"/>
  <c r="S168" i="6"/>
  <c r="F165" i="6"/>
  <c r="S165" i="6" s="1"/>
  <c r="T108" i="6"/>
  <c r="S108" i="6"/>
  <c r="T85" i="6"/>
  <c r="T124" i="6"/>
  <c r="S124" i="6"/>
  <c r="S156" i="6"/>
  <c r="T207" i="6"/>
  <c r="F221" i="6"/>
  <c r="S221" i="6" s="1"/>
  <c r="T227" i="6"/>
  <c r="S227" i="6"/>
  <c r="S128" i="6"/>
  <c r="T128" i="6" s="1"/>
  <c r="T132" i="6"/>
  <c r="S132" i="6"/>
  <c r="T160" i="6"/>
  <c r="S160" i="6"/>
  <c r="T164" i="6"/>
  <c r="S164" i="6"/>
  <c r="T120" i="6"/>
  <c r="S120" i="6"/>
  <c r="S144" i="6"/>
  <c r="T144" i="6" s="1"/>
  <c r="T87" i="6"/>
  <c r="S114" i="6"/>
  <c r="S118" i="6"/>
  <c r="S126" i="6"/>
  <c r="S134" i="6"/>
  <c r="S162" i="6"/>
  <c r="S170" i="6"/>
  <c r="S179" i="6"/>
  <c r="S192" i="6"/>
  <c r="S195" i="6"/>
  <c r="S197" i="6"/>
  <c r="S210" i="6"/>
  <c r="T210" i="6" s="1"/>
  <c r="S218" i="6"/>
  <c r="S225" i="6"/>
  <c r="S232" i="6"/>
  <c r="S248" i="6"/>
  <c r="S259" i="6"/>
  <c r="T259" i="6" s="1"/>
  <c r="U119" i="5"/>
  <c r="U129" i="5"/>
  <c r="G69" i="5"/>
  <c r="U187" i="5"/>
  <c r="U121" i="5"/>
  <c r="U127" i="5"/>
  <c r="U186" i="5"/>
  <c r="U165" i="5"/>
  <c r="U155" i="5"/>
  <c r="U243" i="5"/>
  <c r="U267" i="5"/>
  <c r="U170" i="5"/>
  <c r="U233" i="5"/>
  <c r="V233" i="5" s="1"/>
  <c r="U197" i="5"/>
  <c r="U159" i="5"/>
  <c r="U118" i="5"/>
  <c r="U257" i="5"/>
  <c r="G22" i="5"/>
  <c r="G66" i="5"/>
  <c r="U123" i="5"/>
  <c r="U172" i="5"/>
  <c r="G47" i="5"/>
  <c r="U167" i="5"/>
  <c r="U108" i="5"/>
  <c r="U193" i="5"/>
  <c r="U205" i="5"/>
  <c r="U173" i="5"/>
  <c r="V173" i="5" s="1"/>
  <c r="U175" i="5"/>
  <c r="G63" i="5"/>
  <c r="U152" i="5"/>
  <c r="U105" i="5"/>
  <c r="V105" i="5" s="1"/>
  <c r="U203" i="5"/>
  <c r="U136" i="5"/>
  <c r="T117" i="5"/>
  <c r="T212" i="5"/>
  <c r="S84" i="5"/>
  <c r="S88" i="5"/>
  <c r="S94" i="5"/>
  <c r="T94" i="5" s="1"/>
  <c r="G70" i="5"/>
  <c r="U241" i="5"/>
  <c r="V241" i="5" s="1"/>
  <c r="U163" i="5"/>
  <c r="U113" i="5"/>
  <c r="U224" i="5"/>
  <c r="U201" i="5"/>
  <c r="G65" i="5"/>
  <c r="G64" i="5"/>
  <c r="G52" i="5"/>
  <c r="G36" i="5"/>
  <c r="S172" i="5"/>
  <c r="S112" i="5"/>
  <c r="S114" i="5"/>
  <c r="S157" i="5"/>
  <c r="S163" i="5"/>
  <c r="S173" i="5"/>
  <c r="S182" i="5"/>
  <c r="S197" i="5"/>
  <c r="G56" i="2"/>
  <c r="U148" i="2"/>
  <c r="U147" i="2"/>
  <c r="U198" i="2"/>
  <c r="U142" i="2"/>
  <c r="U224" i="2"/>
  <c r="S110" i="2"/>
  <c r="T110" i="2" s="1"/>
  <c r="G126" i="2"/>
  <c r="S224" i="2"/>
  <c r="S142" i="2"/>
  <c r="T142" i="2" s="1"/>
  <c r="T116" i="2"/>
  <c r="G244" i="2"/>
  <c r="U199" i="2"/>
  <c r="U170" i="2"/>
  <c r="G53" i="2"/>
  <c r="U149" i="2"/>
  <c r="U210" i="2"/>
  <c r="G63" i="2"/>
  <c r="U176" i="2"/>
  <c r="T126" i="2"/>
  <c r="G92" i="2"/>
  <c r="T172" i="2"/>
  <c r="T147" i="2"/>
  <c r="U113" i="2"/>
  <c r="U129" i="2"/>
  <c r="U219" i="2"/>
  <c r="U159" i="2"/>
  <c r="G55" i="2"/>
  <c r="U99" i="2"/>
  <c r="U160" i="2"/>
  <c r="V160" i="2" s="1"/>
  <c r="G65" i="2"/>
  <c r="G120" i="2"/>
  <c r="W120" i="2" s="1"/>
  <c r="G36" i="2"/>
  <c r="U194" i="2"/>
  <c r="T244" i="2"/>
  <c r="T138" i="2"/>
  <c r="G171" i="2"/>
  <c r="U126" i="2"/>
  <c r="U236" i="2"/>
  <c r="U211" i="2"/>
  <c r="U83" i="2"/>
  <c r="U168" i="2"/>
  <c r="U122" i="2"/>
  <c r="G51" i="2"/>
  <c r="G142" i="2"/>
  <c r="V142" i="2" s="1"/>
  <c r="W142" i="2" s="1"/>
  <c r="U125" i="2"/>
  <c r="U189" i="2"/>
  <c r="U200" i="2"/>
  <c r="U146" i="2"/>
  <c r="U209" i="2"/>
  <c r="U226" i="2"/>
  <c r="U91" i="2"/>
  <c r="U95" i="2"/>
  <c r="V95" i="2" s="1"/>
  <c r="U174" i="2"/>
  <c r="U204" i="2"/>
  <c r="U252" i="2"/>
  <c r="G32" i="2"/>
  <c r="G35" i="2"/>
  <c r="U221" i="2"/>
  <c r="U180" i="2"/>
  <c r="U104" i="2"/>
  <c r="U154" i="2"/>
  <c r="U123" i="2"/>
  <c r="U190" i="2"/>
  <c r="U131" i="2"/>
  <c r="G85" i="2"/>
  <c r="W85" i="2" s="1"/>
  <c r="G20" i="2"/>
  <c r="U248" i="2"/>
  <c r="G117" i="2"/>
  <c r="U150" i="2"/>
  <c r="U208" i="2"/>
  <c r="U107" i="2"/>
  <c r="U188" i="2"/>
  <c r="U151" i="2"/>
  <c r="G66" i="2"/>
  <c r="G114" i="2"/>
  <c r="W114" i="2" s="1"/>
  <c r="T152" i="2"/>
  <c r="T118" i="2"/>
  <c r="T154" i="2"/>
  <c r="S106" i="2"/>
  <c r="T106" i="2"/>
  <c r="S162" i="2"/>
  <c r="G94" i="3"/>
  <c r="U252" i="3"/>
  <c r="U199" i="3"/>
  <c r="U205" i="3"/>
  <c r="U99" i="3"/>
  <c r="U145" i="3"/>
  <c r="U95" i="3"/>
  <c r="U137" i="3"/>
  <c r="U198" i="3"/>
  <c r="U143" i="3"/>
  <c r="U222" i="3"/>
  <c r="U104" i="3"/>
  <c r="U177" i="3"/>
  <c r="U239" i="3"/>
  <c r="U151" i="3"/>
  <c r="U81" i="3"/>
  <c r="G69" i="3"/>
  <c r="G25" i="3"/>
  <c r="G62" i="3"/>
  <c r="G24" i="3"/>
  <c r="G49" i="3"/>
  <c r="G68" i="3"/>
  <c r="U162" i="3"/>
  <c r="U230" i="3"/>
  <c r="U160" i="3"/>
  <c r="U125" i="3"/>
  <c r="U103" i="3"/>
  <c r="U251" i="3"/>
  <c r="U256" i="3"/>
  <c r="U84" i="3"/>
  <c r="G38" i="3"/>
  <c r="U219" i="3"/>
  <c r="U112" i="3"/>
  <c r="U168" i="3"/>
  <c r="U133" i="3"/>
  <c r="U110" i="3"/>
  <c r="U229" i="3"/>
  <c r="U235" i="3"/>
  <c r="G51" i="3"/>
  <c r="U212" i="3"/>
  <c r="U96" i="3"/>
  <c r="U83" i="3"/>
  <c r="G20" i="3"/>
  <c r="G43" i="3"/>
  <c r="G63" i="3"/>
  <c r="G33" i="3"/>
  <c r="U127" i="3"/>
  <c r="U166" i="3"/>
  <c r="U204" i="3"/>
  <c r="U92" i="3"/>
  <c r="U100" i="3"/>
  <c r="G27" i="3"/>
  <c r="U232" i="3"/>
  <c r="U119" i="3"/>
  <c r="U134" i="3"/>
  <c r="U146" i="3"/>
  <c r="U136" i="3"/>
  <c r="V136" i="3" s="1"/>
  <c r="W136" i="3" s="1"/>
  <c r="U123" i="3"/>
  <c r="G37" i="3"/>
  <c r="G47" i="3"/>
  <c r="G22" i="3"/>
  <c r="G26" i="3"/>
  <c r="G53" i="3"/>
  <c r="U200" i="3"/>
  <c r="U155" i="3"/>
  <c r="U135" i="3"/>
  <c r="U86" i="3"/>
  <c r="U106" i="3"/>
  <c r="U129" i="3"/>
  <c r="U175" i="3"/>
  <c r="U108" i="3"/>
  <c r="T220" i="3"/>
  <c r="W91" i="4"/>
  <c r="J91" i="4"/>
  <c r="V91" i="4"/>
  <c r="J94" i="4"/>
  <c r="Y94" i="4" s="1"/>
  <c r="V94" i="4"/>
  <c r="W94" i="4"/>
  <c r="V135" i="4"/>
  <c r="W135" i="4"/>
  <c r="J135" i="4"/>
  <c r="V142" i="4"/>
  <c r="J142" i="4"/>
  <c r="Z142" i="4" s="1"/>
  <c r="W84" i="4"/>
  <c r="V84" i="4"/>
  <c r="J84" i="4"/>
  <c r="Y84" i="4" s="1"/>
  <c r="W93" i="4"/>
  <c r="V93" i="4"/>
  <c r="J189" i="4"/>
  <c r="W189" i="4"/>
  <c r="U196" i="7"/>
  <c r="U217" i="7"/>
  <c r="U176" i="7"/>
  <c r="U111" i="7"/>
  <c r="G208" i="7"/>
  <c r="W208" i="7" s="1"/>
  <c r="G193" i="7"/>
  <c r="U173" i="7"/>
  <c r="U157" i="7"/>
  <c r="U88" i="7"/>
  <c r="U163" i="7"/>
  <c r="G168" i="7"/>
  <c r="W168" i="7" s="1"/>
  <c r="G37" i="7"/>
  <c r="G22" i="7"/>
  <c r="U152" i="7"/>
  <c r="U106" i="7"/>
  <c r="U225" i="7"/>
  <c r="U144" i="7"/>
  <c r="G69" i="7"/>
  <c r="G21" i="7"/>
  <c r="G56" i="7"/>
  <c r="G51" i="7"/>
  <c r="U126" i="7"/>
  <c r="G91" i="7"/>
  <c r="G146" i="7"/>
  <c r="W146" i="7" s="1"/>
  <c r="G27" i="7"/>
  <c r="G167" i="7"/>
  <c r="W167" i="7" s="1"/>
  <c r="U95" i="7"/>
  <c r="V95" i="7" s="1"/>
  <c r="W95" i="7" s="1"/>
  <c r="U233" i="7"/>
  <c r="G24" i="7"/>
  <c r="G119" i="7"/>
  <c r="W119" i="7" s="1"/>
  <c r="G43" i="7"/>
  <c r="G126" i="7"/>
  <c r="G117" i="7"/>
  <c r="V117" i="7" s="1"/>
  <c r="W117" i="7" s="1"/>
  <c r="U244" i="7"/>
  <c r="G70" i="7"/>
  <c r="G120" i="7"/>
  <c r="W120" i="7" s="1"/>
  <c r="U168" i="7"/>
  <c r="U201" i="7"/>
  <c r="U146" i="7"/>
  <c r="U234" i="7"/>
  <c r="G32" i="7"/>
  <c r="G19" i="7"/>
  <c r="U133" i="7"/>
  <c r="U177" i="7"/>
  <c r="V177" i="7" s="1"/>
  <c r="U128" i="7"/>
  <c r="V128" i="7" s="1"/>
  <c r="W128" i="7" s="1"/>
  <c r="U236" i="7"/>
  <c r="U194" i="7"/>
  <c r="U158" i="7"/>
  <c r="U125" i="7"/>
  <c r="U232" i="7"/>
  <c r="G66" i="7"/>
  <c r="G81" i="7"/>
  <c r="W81" i="7" s="1"/>
  <c r="G65" i="7"/>
  <c r="G248" i="7"/>
  <c r="V248" i="7" s="1"/>
  <c r="U206" i="7"/>
  <c r="G67" i="7"/>
  <c r="G116" i="7"/>
  <c r="G23" i="7"/>
  <c r="G93" i="7"/>
  <c r="G156" i="7"/>
  <c r="W156" i="7" s="1"/>
  <c r="U154" i="7"/>
  <c r="G262" i="7"/>
  <c r="G41" i="7"/>
  <c r="G216" i="7"/>
  <c r="W216" i="7" s="1"/>
  <c r="U115" i="7"/>
  <c r="U249" i="7"/>
  <c r="V249" i="7" s="1"/>
  <c r="W249" i="7" s="1"/>
  <c r="U116" i="7"/>
  <c r="U134" i="7"/>
  <c r="V134" i="7" s="1"/>
  <c r="W134" i="7" s="1"/>
  <c r="U195" i="7"/>
  <c r="U83" i="7"/>
  <c r="U188" i="7"/>
  <c r="U119" i="7"/>
  <c r="V119" i="7" s="1"/>
  <c r="U93" i="7"/>
  <c r="U151" i="7"/>
  <c r="U139" i="7"/>
  <c r="U223" i="7"/>
  <c r="U140" i="7"/>
  <c r="V140" i="7" s="1"/>
  <c r="U199" i="7"/>
  <c r="G154" i="7"/>
  <c r="W154" i="7" s="1"/>
  <c r="U181" i="7"/>
  <c r="G195" i="7"/>
  <c r="U122" i="7"/>
  <c r="U127" i="7"/>
  <c r="G53" i="7"/>
  <c r="G48" i="7"/>
  <c r="U114" i="7"/>
  <c r="U202" i="7"/>
  <c r="U187" i="7"/>
  <c r="G38" i="7"/>
  <c r="U131" i="7"/>
  <c r="U141" i="7"/>
  <c r="U160" i="7"/>
  <c r="V160" i="7" s="1"/>
  <c r="U200" i="7"/>
  <c r="G234" i="7"/>
  <c r="W234" i="7" s="1"/>
  <c r="U108" i="7"/>
  <c r="V108" i="7" s="1"/>
  <c r="W108" i="7" s="1"/>
  <c r="G218" i="7"/>
  <c r="W218" i="7" s="1"/>
  <c r="G122" i="7"/>
  <c r="W122" i="7" s="1"/>
  <c r="U142" i="7"/>
  <c r="G40" i="7"/>
  <c r="U130" i="7"/>
  <c r="U164" i="7"/>
  <c r="V164" i="7" s="1"/>
  <c r="U118" i="7"/>
  <c r="U123" i="7"/>
  <c r="U113" i="7"/>
  <c r="U138" i="7"/>
  <c r="U129" i="7"/>
  <c r="U120" i="7"/>
  <c r="U262" i="7"/>
  <c r="U156" i="7"/>
  <c r="U239" i="7"/>
  <c r="U167" i="7"/>
  <c r="V167" i="7" s="1"/>
  <c r="U143" i="7"/>
  <c r="V143" i="7" s="1"/>
  <c r="U162" i="7"/>
  <c r="G52" i="7"/>
  <c r="U220" i="7"/>
  <c r="U267" i="7"/>
  <c r="U208" i="7"/>
  <c r="V208" i="7" s="1"/>
  <c r="U148" i="7"/>
  <c r="U178" i="7"/>
  <c r="U179" i="7"/>
  <c r="G61" i="7"/>
  <c r="G152" i="7"/>
  <c r="W152" i="7"/>
  <c r="G68" i="7"/>
  <c r="G26" i="7"/>
  <c r="U226" i="7"/>
  <c r="G62" i="7"/>
  <c r="G161" i="7"/>
  <c r="V161" i="7" s="1"/>
  <c r="U86" i="7"/>
  <c r="G33" i="7"/>
  <c r="G114" i="7"/>
  <c r="V114" i="7" s="1"/>
  <c r="W114" i="7" s="1"/>
  <c r="G132" i="7"/>
  <c r="G63" i="7"/>
  <c r="U211" i="7"/>
  <c r="G188" i="7"/>
  <c r="U218" i="7"/>
  <c r="U149" i="7"/>
  <c r="U132" i="7"/>
  <c r="U92" i="7"/>
  <c r="U209" i="7"/>
  <c r="U155" i="7"/>
  <c r="U103" i="7"/>
  <c r="U175" i="7"/>
  <c r="G22" i="2"/>
  <c r="U195" i="2"/>
  <c r="U134" i="2"/>
  <c r="G43" i="2"/>
  <c r="U157" i="2"/>
  <c r="G33" i="2"/>
  <c r="U105" i="2"/>
  <c r="U140" i="2"/>
  <c r="U192" i="2"/>
  <c r="U181" i="2"/>
  <c r="U167" i="2"/>
  <c r="U128" i="2"/>
  <c r="U225" i="2"/>
  <c r="U86" i="2"/>
  <c r="U136" i="2"/>
  <c r="U164" i="2"/>
  <c r="G67" i="2"/>
  <c r="G47" i="2"/>
  <c r="G52" i="2"/>
  <c r="U115" i="2"/>
  <c r="U127" i="2"/>
  <c r="U173" i="2"/>
  <c r="U216" i="2"/>
  <c r="U135" i="2"/>
  <c r="U100" i="2"/>
  <c r="U114" i="2"/>
  <c r="U213" i="2"/>
  <c r="U153" i="2"/>
  <c r="U186" i="2"/>
  <c r="G200" i="2"/>
  <c r="W200" i="2" s="1"/>
  <c r="U130" i="2"/>
  <c r="U112" i="2"/>
  <c r="U139" i="2"/>
  <c r="U171" i="2"/>
  <c r="U183" i="2"/>
  <c r="U218" i="2"/>
  <c r="G116" i="2"/>
  <c r="G69" i="2"/>
  <c r="G68" i="2"/>
  <c r="G111" i="2"/>
  <c r="W111" i="2" s="1"/>
  <c r="G23" i="2"/>
  <c r="G49" i="2"/>
  <c r="G18" i="2"/>
  <c r="U87" i="2"/>
  <c r="G128" i="2"/>
  <c r="G118" i="2"/>
  <c r="W118" i="2" s="1"/>
  <c r="U250" i="2"/>
  <c r="U98" i="2"/>
  <c r="U152" i="2"/>
  <c r="G62" i="2"/>
  <c r="U143" i="2"/>
  <c r="U85" i="2"/>
  <c r="U244" i="2"/>
  <c r="G39" i="2"/>
  <c r="G91" i="2"/>
  <c r="U103" i="2"/>
  <c r="U92" i="2"/>
  <c r="G34" i="2"/>
  <c r="G26" i="2"/>
  <c r="U184" i="2"/>
  <c r="U109" i="2"/>
  <c r="G106" i="2"/>
  <c r="U156" i="2"/>
  <c r="U108" i="2"/>
  <c r="G24" i="2"/>
  <c r="U116" i="11"/>
  <c r="G142" i="11"/>
  <c r="W142" i="11" s="1"/>
  <c r="U241" i="11"/>
  <c r="U192" i="11"/>
  <c r="U151" i="11"/>
  <c r="U107" i="11"/>
  <c r="G137" i="11"/>
  <c r="W137" i="11" s="1"/>
  <c r="U85" i="11"/>
  <c r="U156" i="11"/>
  <c r="U248" i="11"/>
  <c r="U105" i="11"/>
  <c r="G34" i="11"/>
  <c r="U240" i="11"/>
  <c r="U213" i="11"/>
  <c r="U224" i="11"/>
  <c r="U141" i="11"/>
  <c r="U134" i="11"/>
  <c r="U155" i="11"/>
  <c r="G63" i="11"/>
  <c r="G68" i="11"/>
  <c r="U152" i="11"/>
  <c r="G184" i="11"/>
  <c r="G190" i="11"/>
  <c r="U132" i="11"/>
  <c r="U106" i="11"/>
  <c r="G49" i="11"/>
  <c r="U138" i="11"/>
  <c r="U113" i="11"/>
  <c r="U244" i="11"/>
  <c r="U193" i="11"/>
  <c r="U104" i="11"/>
  <c r="G23" i="11"/>
  <c r="U242" i="11"/>
  <c r="U84" i="2"/>
  <c r="G61" i="2"/>
  <c r="G27" i="2"/>
  <c r="U118" i="2"/>
  <c r="U93" i="2"/>
  <c r="U120" i="2"/>
  <c r="U136" i="11"/>
  <c r="G52" i="11"/>
  <c r="U164" i="11"/>
  <c r="U133" i="11"/>
  <c r="U130" i="11"/>
  <c r="U131" i="11"/>
  <c r="G149" i="11"/>
  <c r="W149" i="11" s="1"/>
  <c r="G54" i="11"/>
  <c r="G120" i="11"/>
  <c r="W120" i="11" s="1"/>
  <c r="G124" i="11"/>
  <c r="G26" i="11"/>
  <c r="G126" i="11"/>
  <c r="W126" i="11" s="1"/>
  <c r="G35" i="11"/>
  <c r="G147" i="11"/>
  <c r="U153" i="11"/>
  <c r="U189" i="11"/>
  <c r="U98" i="11"/>
  <c r="G96" i="11"/>
  <c r="U124" i="11"/>
  <c r="U119" i="2"/>
  <c r="G70" i="2"/>
  <c r="G21" i="2"/>
  <c r="U155" i="2"/>
  <c r="U145" i="2"/>
  <c r="U201" i="2"/>
  <c r="G124" i="2"/>
  <c r="W124" i="2" s="1"/>
  <c r="U124" i="2"/>
  <c r="U92" i="11"/>
  <c r="G170" i="11"/>
  <c r="U245" i="11"/>
  <c r="U87" i="11"/>
  <c r="G38" i="11"/>
  <c r="G69" i="11"/>
  <c r="U116" i="2"/>
  <c r="U106" i="2"/>
  <c r="U111" i="2"/>
  <c r="G37" i="2"/>
  <c r="U96" i="2"/>
  <c r="U246" i="2"/>
  <c r="U162" i="2"/>
  <c r="U228" i="2"/>
  <c r="U133" i="2"/>
  <c r="G199" i="2"/>
  <c r="V199" i="2" s="1"/>
  <c r="W199" i="2" s="1"/>
  <c r="G40" i="2"/>
  <c r="J83" i="4"/>
  <c r="Y83" i="4" s="1"/>
  <c r="W83" i="4"/>
  <c r="J116" i="4"/>
  <c r="W116" i="4"/>
  <c r="I73" i="4"/>
  <c r="G51" i="5"/>
  <c r="U98" i="5"/>
  <c r="U213" i="5"/>
  <c r="U231" i="5"/>
  <c r="U132" i="5"/>
  <c r="U206" i="5"/>
  <c r="U112" i="5"/>
  <c r="U174" i="5"/>
  <c r="U95" i="5"/>
  <c r="U160" i="5"/>
  <c r="U226" i="5"/>
  <c r="G62" i="5"/>
  <c r="G212" i="5"/>
  <c r="V212" i="5" s="1"/>
  <c r="W212" i="5" s="1"/>
  <c r="G48" i="5"/>
  <c r="G172" i="5"/>
  <c r="W172" i="5" s="1"/>
  <c r="G54" i="5"/>
  <c r="G37" i="5"/>
  <c r="G26" i="5"/>
  <c r="G32" i="5"/>
  <c r="U212" i="5"/>
  <c r="U107" i="5"/>
  <c r="U166" i="5"/>
  <c r="U219" i="5"/>
  <c r="U92" i="5"/>
  <c r="U109" i="5"/>
  <c r="G40" i="5"/>
  <c r="G187" i="5"/>
  <c r="G50" i="5"/>
  <c r="U122" i="5"/>
  <c r="U207" i="5"/>
  <c r="U134" i="5"/>
  <c r="U194" i="5"/>
  <c r="U110" i="5"/>
  <c r="U88" i="5"/>
  <c r="U130" i="5"/>
  <c r="U269" i="5"/>
  <c r="U81" i="5"/>
  <c r="U182" i="5"/>
  <c r="U93" i="5"/>
  <c r="V93" i="5" s="1"/>
  <c r="W93" i="5" s="1"/>
  <c r="U199" i="5"/>
  <c r="U115" i="5"/>
  <c r="U225" i="5"/>
  <c r="G19" i="5"/>
  <c r="G24" i="5"/>
  <c r="G224" i="5"/>
  <c r="V224" i="5" s="1"/>
  <c r="G35" i="5"/>
  <c r="G120" i="5"/>
  <c r="W120" i="5" s="1"/>
  <c r="G163" i="5"/>
  <c r="W163" i="5" s="1"/>
  <c r="G67" i="5"/>
  <c r="U168" i="5"/>
  <c r="U185" i="5"/>
  <c r="U196" i="5"/>
  <c r="U125" i="5"/>
  <c r="U169" i="5"/>
  <c r="G34" i="5"/>
  <c r="G56" i="5"/>
  <c r="U211" i="5"/>
  <c r="U234" i="5"/>
  <c r="U171" i="5"/>
  <c r="U180" i="5"/>
  <c r="G197" i="5"/>
  <c r="W197" i="5" s="1"/>
  <c r="G50" i="12"/>
  <c r="G36" i="12"/>
  <c r="U92" i="12"/>
  <c r="U113" i="13"/>
  <c r="W86" i="4"/>
  <c r="V86" i="4"/>
  <c r="J86" i="4"/>
  <c r="Y86" i="4" s="1"/>
  <c r="W119" i="4"/>
  <c r="J119" i="4"/>
  <c r="Z119" i="4" s="1"/>
  <c r="V119" i="4"/>
  <c r="Z93" i="4"/>
  <c r="W151" i="10"/>
  <c r="U160" i="11"/>
  <c r="U112" i="11"/>
  <c r="G119" i="11"/>
  <c r="W119" i="11" s="1"/>
  <c r="G62" i="11"/>
  <c r="U83" i="11"/>
  <c r="V83" i="11" s="1"/>
  <c r="U93" i="11"/>
  <c r="U108" i="11"/>
  <c r="U211" i="11"/>
  <c r="U174" i="11"/>
  <c r="U219" i="11"/>
  <c r="U171" i="11"/>
  <c r="U236" i="11"/>
  <c r="G211" i="11"/>
  <c r="U216" i="11"/>
  <c r="U157" i="11"/>
  <c r="G244" i="11"/>
  <c r="U154" i="11"/>
  <c r="U126" i="11"/>
  <c r="U168" i="11"/>
  <c r="U119" i="11"/>
  <c r="G39" i="11"/>
  <c r="G87" i="11"/>
  <c r="U110" i="11"/>
  <c r="G138" i="11"/>
  <c r="W138" i="11" s="1"/>
  <c r="G140" i="11"/>
  <c r="G158" i="11"/>
  <c r="U201" i="11"/>
  <c r="G224" i="11"/>
  <c r="W224" i="11" s="1"/>
  <c r="G36" i="11"/>
  <c r="G81" i="11"/>
  <c r="W81" i="11" s="1"/>
  <c r="G118" i="11"/>
  <c r="W118" i="11" s="1"/>
  <c r="G226" i="11"/>
  <c r="W226" i="11" s="1"/>
  <c r="G201" i="11"/>
  <c r="U148" i="11"/>
  <c r="U88" i="11"/>
  <c r="G47" i="11"/>
  <c r="G105" i="11"/>
  <c r="G84" i="11"/>
  <c r="G24" i="11"/>
  <c r="G66" i="11"/>
  <c r="U118" i="11"/>
  <c r="U252" i="11"/>
  <c r="U199" i="11"/>
  <c r="U170" i="11"/>
  <c r="U200" i="11"/>
  <c r="U250" i="11"/>
  <c r="G225" i="11"/>
  <c r="W225" i="11" s="1"/>
  <c r="U198" i="11"/>
  <c r="U181" i="11"/>
  <c r="U149" i="11"/>
  <c r="U129" i="11"/>
  <c r="U162" i="11"/>
  <c r="U146" i="11"/>
  <c r="U122" i="11"/>
  <c r="U159" i="11"/>
  <c r="V159" i="11" s="1"/>
  <c r="U135" i="11"/>
  <c r="G53" i="11"/>
  <c r="G104" i="11"/>
  <c r="G144" i="11"/>
  <c r="W144" i="11" s="1"/>
  <c r="G40" i="11"/>
  <c r="G110" i="11"/>
  <c r="V110" i="11" s="1"/>
  <c r="G136" i="11"/>
  <c r="U109" i="11"/>
  <c r="G41" i="11"/>
  <c r="U114" i="11"/>
  <c r="V114" i="11" s="1"/>
  <c r="G37" i="11"/>
  <c r="G19" i="11"/>
  <c r="G107" i="11"/>
  <c r="W107" i="11" s="1"/>
  <c r="G94" i="11"/>
  <c r="V94" i="11" s="1"/>
  <c r="W94" i="11" s="1"/>
  <c r="G48" i="11"/>
  <c r="U195" i="11"/>
  <c r="U218" i="11"/>
  <c r="U188" i="11"/>
  <c r="U226" i="11"/>
  <c r="V226" i="11" s="1"/>
  <c r="U184" i="11"/>
  <c r="U217" i="11"/>
  <c r="G199" i="11"/>
  <c r="V199" i="11" s="1"/>
  <c r="W199" i="11" s="1"/>
  <c r="U187" i="11"/>
  <c r="U161" i="11"/>
  <c r="U137" i="11"/>
  <c r="U117" i="11"/>
  <c r="V117" i="11" s="1"/>
  <c r="U158" i="11"/>
  <c r="U190" i="11"/>
  <c r="U143" i="11"/>
  <c r="V143" i="11" s="1"/>
  <c r="U123" i="11"/>
  <c r="V123" i="11" s="1"/>
  <c r="W123" i="11" s="1"/>
  <c r="G25" i="11"/>
  <c r="U81" i="11"/>
  <c r="G146" i="11"/>
  <c r="G22" i="11"/>
  <c r="G64" i="11"/>
  <c r="U95" i="11"/>
  <c r="U144" i="11"/>
  <c r="U172" i="11"/>
  <c r="G168" i="11"/>
  <c r="W168" i="11" s="1"/>
  <c r="W183" i="4"/>
  <c r="V183" i="4"/>
  <c r="U161" i="2"/>
  <c r="U242" i="2"/>
  <c r="U94" i="2"/>
  <c r="G19" i="2"/>
  <c r="G50" i="2"/>
  <c r="U158" i="2"/>
  <c r="U137" i="2"/>
  <c r="G105" i="2"/>
  <c r="W105" i="2" s="1"/>
  <c r="U169" i="2"/>
  <c r="U217" i="2"/>
  <c r="U132" i="2"/>
  <c r="U88" i="2"/>
  <c r="V88" i="2" s="1"/>
  <c r="G127" i="7"/>
  <c r="G232" i="7"/>
  <c r="G155" i="7"/>
  <c r="W155" i="7" s="1"/>
  <c r="W145" i="4"/>
  <c r="V145" i="4"/>
  <c r="J145" i="4"/>
  <c r="Z145" i="4" s="1"/>
  <c r="W170" i="4"/>
  <c r="J170" i="4"/>
  <c r="V170" i="4"/>
  <c r="Z143" i="4"/>
  <c r="V162" i="4"/>
  <c r="J162" i="4"/>
  <c r="W162" i="4"/>
  <c r="J155" i="4"/>
  <c r="Y155" i="4" s="1"/>
  <c r="V155" i="4"/>
  <c r="W185" i="4"/>
  <c r="G114" i="13"/>
  <c r="W114" i="13" s="1"/>
  <c r="V143" i="4"/>
  <c r="W143" i="4"/>
  <c r="V146" i="4"/>
  <c r="J146" i="4"/>
  <c r="Y146" i="4" s="1"/>
  <c r="W146" i="4"/>
  <c r="V154" i="4"/>
  <c r="W154" i="4"/>
  <c r="V160" i="4"/>
  <c r="W160" i="4"/>
  <c r="W169" i="4"/>
  <c r="G150" i="13"/>
  <c r="W150" i="13" s="1"/>
  <c r="G138" i="13"/>
  <c r="G112" i="13"/>
  <c r="W112" i="13" s="1"/>
  <c r="U109" i="13"/>
  <c r="U99" i="13"/>
  <c r="G95" i="13"/>
  <c r="W95" i="13" s="1"/>
  <c r="U88" i="13"/>
  <c r="G50" i="13"/>
  <c r="G36" i="13"/>
  <c r="G26" i="13"/>
  <c r="G251" i="13"/>
  <c r="U117" i="13"/>
  <c r="V117" i="13" s="1"/>
  <c r="G110" i="13"/>
  <c r="G91" i="13"/>
  <c r="U84" i="13"/>
  <c r="G43" i="13"/>
  <c r="G32" i="13"/>
  <c r="G22" i="13"/>
  <c r="U157" i="13"/>
  <c r="U153" i="13"/>
  <c r="U141" i="13"/>
  <c r="U121" i="13"/>
  <c r="G106" i="13"/>
  <c r="G85" i="13"/>
  <c r="W85" i="13" s="1"/>
  <c r="G18" i="13"/>
  <c r="J144" i="4"/>
  <c r="V144" i="4"/>
  <c r="V153" i="4"/>
  <c r="W153" i="4"/>
  <c r="J161" i="4"/>
  <c r="Y161" i="4" s="1"/>
  <c r="V161" i="4"/>
  <c r="W161" i="4"/>
  <c r="W155" i="4"/>
  <c r="G40" i="12"/>
  <c r="G54" i="12"/>
  <c r="U84" i="12"/>
  <c r="V84" i="12" s="1"/>
  <c r="W84" i="12" s="1"/>
  <c r="G85" i="12"/>
  <c r="U130" i="12"/>
  <c r="U131" i="12"/>
  <c r="W142" i="4"/>
  <c r="G18" i="12"/>
  <c r="U99" i="12"/>
  <c r="V99" i="12" s="1"/>
  <c r="W99" i="12" s="1"/>
  <c r="G158" i="12"/>
  <c r="W158" i="12" s="1"/>
  <c r="U185" i="12"/>
  <c r="G22" i="12"/>
  <c r="G32" i="12"/>
  <c r="G43" i="12"/>
  <c r="G64" i="12"/>
  <c r="G115" i="12"/>
  <c r="W115" i="12"/>
  <c r="G149" i="12"/>
  <c r="U161" i="12"/>
  <c r="V161" i="12" s="1"/>
  <c r="W157" i="12"/>
  <c r="W242" i="12"/>
  <c r="T207" i="10"/>
  <c r="W118" i="10"/>
  <c r="W136" i="10"/>
  <c r="T165" i="6"/>
  <c r="V81" i="7"/>
  <c r="Z83" i="4"/>
  <c r="Y189" i="4"/>
  <c r="Z189" i="4"/>
  <c r="Y145" i="4"/>
  <c r="Z162" i="4"/>
  <c r="Y162" i="4"/>
  <c r="G32" i="6"/>
  <c r="G18" i="6"/>
  <c r="G25" i="6"/>
  <c r="G39" i="6"/>
  <c r="G138" i="6"/>
  <c r="W138" i="6" s="1"/>
  <c r="G263" i="6"/>
  <c r="U239" i="6"/>
  <c r="G19" i="6"/>
  <c r="U196" i="6"/>
  <c r="G262" i="6"/>
  <c r="G260" i="6"/>
  <c r="G207" i="6"/>
  <c r="U167" i="6"/>
  <c r="G125" i="6"/>
  <c r="W125" i="6" s="1"/>
  <c r="U155" i="6"/>
  <c r="U249" i="6"/>
  <c r="G261" i="6"/>
  <c r="G253" i="6"/>
  <c r="G254" i="6"/>
  <c r="G251" i="6"/>
  <c r="G255" i="6"/>
  <c r="G146" i="6"/>
  <c r="G252" i="6"/>
  <c r="G256" i="6"/>
  <c r="S249" i="6"/>
  <c r="T249" i="6" s="1"/>
  <c r="G68" i="6"/>
  <c r="U119" i="6"/>
  <c r="U179" i="6"/>
  <c r="U263" i="6"/>
  <c r="G105" i="6"/>
  <c r="V105" i="6" s="1"/>
  <c r="W105" i="6" s="1"/>
  <c r="G192" i="6"/>
  <c r="G120" i="6"/>
  <c r="W120" i="6" s="1"/>
  <c r="U96" i="6"/>
  <c r="U135" i="6"/>
  <c r="G53" i="6"/>
  <c r="U180" i="6"/>
  <c r="G129" i="6"/>
  <c r="U85" i="6"/>
  <c r="U105" i="6"/>
  <c r="U125" i="6"/>
  <c r="G128" i="6"/>
  <c r="U163" i="6"/>
  <c r="G118" i="6"/>
  <c r="W118" i="6" s="1"/>
  <c r="U182" i="6"/>
  <c r="U227" i="6"/>
  <c r="U88" i="6"/>
  <c r="U107" i="6"/>
  <c r="G234" i="6"/>
  <c r="W234" i="6" s="1"/>
  <c r="U218" i="6"/>
  <c r="G180" i="6"/>
  <c r="W180" i="6" s="1"/>
  <c r="U177" i="6"/>
  <c r="S208" i="6"/>
  <c r="T208" i="6" s="1"/>
  <c r="F212" i="6"/>
  <c r="S212" i="6" s="1"/>
  <c r="T212" i="6" s="1"/>
  <c r="T206" i="6"/>
  <c r="S258" i="6"/>
  <c r="T258" i="6" s="1"/>
  <c r="S105" i="6"/>
  <c r="T105" i="6" s="1"/>
  <c r="S161" i="6"/>
  <c r="S224" i="6"/>
  <c r="T224" i="6" s="1"/>
  <c r="G112" i="6"/>
  <c r="W112" i="6" s="1"/>
  <c r="G150" i="6"/>
  <c r="G145" i="6"/>
  <c r="U192" i="6"/>
  <c r="G94" i="6"/>
  <c r="W94" i="6" s="1"/>
  <c r="G36" i="6"/>
  <c r="G268" i="6"/>
  <c r="W268" i="6" s="1"/>
  <c r="G41" i="6"/>
  <c r="U209" i="6"/>
  <c r="V209" i="6" s="1"/>
  <c r="W209" i="6"/>
  <c r="U225" i="6"/>
  <c r="G35" i="6"/>
  <c r="G47" i="6"/>
  <c r="U162" i="6"/>
  <c r="U127" i="6"/>
  <c r="U86" i="6"/>
  <c r="G20" i="6"/>
  <c r="U164" i="6"/>
  <c r="G170" i="6"/>
  <c r="W170" i="6" s="1"/>
  <c r="U226" i="6"/>
  <c r="G208" i="6"/>
  <c r="G37" i="6"/>
  <c r="G65" i="6"/>
  <c r="G38" i="6"/>
  <c r="U132" i="6"/>
  <c r="G195" i="6"/>
  <c r="W195" i="6" s="1"/>
  <c r="G111" i="6"/>
  <c r="W111" i="6" s="1"/>
  <c r="U84" i="6"/>
  <c r="U176" i="6"/>
  <c r="G27" i="6"/>
  <c r="U195" i="6"/>
  <c r="U157" i="6"/>
  <c r="U194" i="6"/>
  <c r="U103" i="6"/>
  <c r="G108" i="6"/>
  <c r="W108" i="6" s="1"/>
  <c r="G196" i="6"/>
  <c r="W196" i="6" s="1"/>
  <c r="G149" i="6"/>
  <c r="G34" i="6"/>
  <c r="G168" i="6"/>
  <c r="W168" i="6" s="1"/>
  <c r="U166" i="6"/>
  <c r="U139" i="6"/>
  <c r="U126" i="6"/>
  <c r="V126" i="6" s="1"/>
  <c r="G248" i="6"/>
  <c r="G69" i="6"/>
  <c r="U207" i="6"/>
  <c r="U94" i="6"/>
  <c r="G137" i="6"/>
  <c r="W137" i="6" s="1"/>
  <c r="U122" i="6"/>
  <c r="U159" i="6"/>
  <c r="U188" i="6"/>
  <c r="U210" i="6"/>
  <c r="U109" i="6"/>
  <c r="G117" i="6"/>
  <c r="W117" i="6" s="1"/>
  <c r="U165" i="6"/>
  <c r="G63" i="6"/>
  <c r="U184" i="6"/>
  <c r="U115" i="6"/>
  <c r="G87" i="6"/>
  <c r="W87" i="6" s="1"/>
  <c r="G141" i="6"/>
  <c r="G217" i="6"/>
  <c r="W217" i="6" s="1"/>
  <c r="G81" i="6"/>
  <c r="W81" i="6" s="1"/>
  <c r="U110" i="6"/>
  <c r="U118" i="6"/>
  <c r="V118" i="6" s="1"/>
  <c r="U140" i="6"/>
  <c r="G92" i="6"/>
  <c r="G132" i="6"/>
  <c r="W132" i="6" s="1"/>
  <c r="G152" i="6"/>
  <c r="G148" i="6"/>
  <c r="G154" i="6"/>
  <c r="W154" i="6" s="1"/>
  <c r="G216" i="6"/>
  <c r="W216" i="6" s="1"/>
  <c r="U113" i="6"/>
  <c r="U143" i="6"/>
  <c r="U234" i="6"/>
  <c r="G151" i="6"/>
  <c r="U172" i="6"/>
  <c r="G179" i="6"/>
  <c r="G64" i="6"/>
  <c r="U219" i="6"/>
  <c r="G67" i="6"/>
  <c r="G119" i="6"/>
  <c r="W119" i="6" s="1"/>
  <c r="G40" i="6"/>
  <c r="G155" i="6"/>
  <c r="G56" i="6"/>
  <c r="U259" i="6"/>
  <c r="U134" i="6"/>
  <c r="U200" i="6"/>
  <c r="G176" i="6"/>
  <c r="V176" i="6" s="1"/>
  <c r="W176" i="6" s="1"/>
  <c r="S176" i="6"/>
  <c r="T176" i="6" s="1"/>
  <c r="S154" i="6"/>
  <c r="G156" i="6"/>
  <c r="W156" i="6" s="1"/>
  <c r="T169" i="6"/>
  <c r="G166" i="6"/>
  <c r="G167" i="6"/>
  <c r="W167" i="6" s="1"/>
  <c r="G163" i="6"/>
  <c r="W163" i="6" s="1"/>
  <c r="S166" i="6"/>
  <c r="T163" i="6"/>
  <c r="G142" i="6"/>
  <c r="S142" i="6"/>
  <c r="T142" i="6" s="1"/>
  <c r="U99" i="6"/>
  <c r="U87" i="6"/>
  <c r="U83" i="6"/>
  <c r="G104" i="6"/>
  <c r="G160" i="6"/>
  <c r="W160" i="6" s="1"/>
  <c r="G91" i="6"/>
  <c r="G218" i="6"/>
  <c r="G198" i="6"/>
  <c r="G249" i="6"/>
  <c r="U124" i="6"/>
  <c r="G123" i="6"/>
  <c r="W123" i="6" s="1"/>
  <c r="G224" i="6"/>
  <c r="U236" i="6"/>
  <c r="U141" i="6"/>
  <c r="G54" i="6"/>
  <c r="G21" i="6"/>
  <c r="G24" i="6"/>
  <c r="U161" i="6"/>
  <c r="G114" i="6"/>
  <c r="W114" i="6" s="1"/>
  <c r="U248" i="6"/>
  <c r="U108" i="6"/>
  <c r="U170" i="6"/>
  <c r="U81" i="6"/>
  <c r="V81" i="6" s="1"/>
  <c r="G135" i="6"/>
  <c r="W135" i="6" s="1"/>
  <c r="U154" i="6"/>
  <c r="V154" i="6" s="1"/>
  <c r="U189" i="6"/>
  <c r="U224" i="6"/>
  <c r="U216" i="6"/>
  <c r="U198" i="6"/>
  <c r="G258" i="6"/>
  <c r="G110" i="6"/>
  <c r="W110" i="6" s="1"/>
  <c r="U104" i="6"/>
  <c r="U168" i="6"/>
  <c r="G66" i="6"/>
  <c r="U123" i="6"/>
  <c r="G85" i="6"/>
  <c r="W85" i="6" s="1"/>
  <c r="U206" i="6"/>
  <c r="U156" i="6"/>
  <c r="V156" i="6" s="1"/>
  <c r="U114" i="6"/>
  <c r="U142" i="6"/>
  <c r="G161" i="6"/>
  <c r="W161" i="6" s="1"/>
  <c r="U221" i="6"/>
  <c r="G232" i="6"/>
  <c r="U233" i="6"/>
  <c r="G33" i="6"/>
  <c r="U158" i="6"/>
  <c r="U181" i="6"/>
  <c r="U229" i="6"/>
  <c r="G51" i="6"/>
  <c r="U212" i="6"/>
  <c r="U95" i="6"/>
  <c r="G164" i="6"/>
  <c r="G227" i="6"/>
  <c r="G124" i="6"/>
  <c r="W124" i="6" s="1"/>
  <c r="U232" i="6"/>
  <c r="U197" i="6"/>
  <c r="U106" i="6"/>
  <c r="G22" i="6"/>
  <c r="U178" i="6"/>
  <c r="G126" i="6"/>
  <c r="W126" i="6" s="1"/>
  <c r="G43" i="6"/>
  <c r="U131" i="6"/>
  <c r="G250" i="6"/>
  <c r="U217" i="6"/>
  <c r="U191" i="6"/>
  <c r="U121" i="6"/>
  <c r="G55" i="6"/>
  <c r="G144" i="6"/>
  <c r="G210" i="6"/>
  <c r="U128" i="6"/>
  <c r="G93" i="6"/>
  <c r="G140" i="6"/>
  <c r="G50" i="6"/>
  <c r="U203" i="6"/>
  <c r="G52" i="6"/>
  <c r="G225" i="6"/>
  <c r="W225" i="6" s="1"/>
  <c r="U116" i="6"/>
  <c r="G23" i="6"/>
  <c r="U270" i="6"/>
  <c r="U129" i="6"/>
  <c r="V129" i="6" s="1"/>
  <c r="W129" i="6" s="1"/>
  <c r="G182" i="6"/>
  <c r="U244" i="6"/>
  <c r="G48" i="6"/>
  <c r="U138" i="6"/>
  <c r="G62" i="6"/>
  <c r="U153" i="6"/>
  <c r="G143" i="6"/>
  <c r="G134" i="6"/>
  <c r="W134" i="6" s="1"/>
  <c r="U144" i="6"/>
  <c r="G70" i="6"/>
  <c r="U120" i="6"/>
  <c r="U136" i="6"/>
  <c r="U250" i="6"/>
  <c r="U268" i="6"/>
  <c r="G169" i="6"/>
  <c r="W169" i="6" s="1"/>
  <c r="U111" i="6"/>
  <c r="V111" i="6" s="1"/>
  <c r="U202" i="6"/>
  <c r="U98" i="6"/>
  <c r="U201" i="6"/>
  <c r="U91" i="6"/>
  <c r="V91" i="6" s="1"/>
  <c r="W91" i="6" s="1"/>
  <c r="G197" i="6"/>
  <c r="W197" i="6" s="1"/>
  <c r="G259" i="6"/>
  <c r="U208" i="6"/>
  <c r="V208" i="6" s="1"/>
  <c r="W208" i="6" s="1"/>
  <c r="G26" i="6"/>
  <c r="U100" i="6"/>
  <c r="U92" i="6"/>
  <c r="U130" i="6"/>
  <c r="G162" i="6"/>
  <c r="W162" i="6" s="1"/>
  <c r="U93" i="6"/>
  <c r="G157" i="6"/>
  <c r="W157" i="6" s="1"/>
  <c r="U258" i="6"/>
  <c r="U133" i="6"/>
  <c r="U112" i="6"/>
  <c r="G130" i="6"/>
  <c r="S130" i="6"/>
  <c r="T130" i="6" s="1"/>
  <c r="S104" i="6"/>
  <c r="T104" i="6" s="1"/>
  <c r="S91" i="6"/>
  <c r="T91" i="6"/>
  <c r="S92" i="6"/>
  <c r="T92" i="6" s="1"/>
  <c r="G83" i="6"/>
  <c r="T83" i="6"/>
  <c r="S257" i="5"/>
  <c r="G226" i="5"/>
  <c r="W226" i="5" s="1"/>
  <c r="S124" i="5"/>
  <c r="T233" i="5"/>
  <c r="S233" i="5"/>
  <c r="S214" i="5"/>
  <c r="T214" i="5" s="1"/>
  <c r="T200" i="5"/>
  <c r="G106" i="5"/>
  <c r="W106" i="5" s="1"/>
  <c r="S104" i="5"/>
  <c r="G160" i="5"/>
  <c r="W160" i="5" s="1"/>
  <c r="S166" i="5"/>
  <c r="G255" i="5"/>
  <c r="V255" i="5" s="1"/>
  <c r="W255" i="5" s="1"/>
  <c r="S255" i="5"/>
  <c r="T255" i="5" s="1"/>
  <c r="S136" i="5"/>
  <c r="T223" i="5"/>
  <c r="G234" i="5"/>
  <c r="S234" i="5"/>
  <c r="T234" i="5" s="1"/>
  <c r="S199" i="5"/>
  <c r="G199" i="5"/>
  <c r="V199" i="5" s="1"/>
  <c r="G264" i="5"/>
  <c r="S264" i="5"/>
  <c r="T264" i="5" s="1"/>
  <c r="T118" i="5"/>
  <c r="S174" i="5"/>
  <c r="G174" i="5"/>
  <c r="T174" i="5"/>
  <c r="G269" i="5"/>
  <c r="V269" i="5" s="1"/>
  <c r="W269" i="5" s="1"/>
  <c r="T171" i="5"/>
  <c r="S171" i="5"/>
  <c r="S223" i="5"/>
  <c r="S81" i="5"/>
  <c r="G81" i="5"/>
  <c r="G86" i="5"/>
  <c r="W86" i="5" s="1"/>
  <c r="S86" i="5"/>
  <c r="S183" i="5"/>
  <c r="T241" i="5"/>
  <c r="T105" i="5"/>
  <c r="G239" i="5"/>
  <c r="V239" i="5" s="1"/>
  <c r="S128" i="5"/>
  <c r="T128" i="5" s="1"/>
  <c r="G203" i="5"/>
  <c r="G265" i="5"/>
  <c r="G153" i="5"/>
  <c r="V153" i="5" s="1"/>
  <c r="W153" i="5" s="1"/>
  <c r="S153" i="5"/>
  <c r="T153" i="5" s="1"/>
  <c r="G134" i="5"/>
  <c r="V134" i="5" s="1"/>
  <c r="S135" i="5"/>
  <c r="T135" i="5" s="1"/>
  <c r="T224" i="5"/>
  <c r="G112" i="5"/>
  <c r="S162" i="5"/>
  <c r="T81" i="5"/>
  <c r="S92" i="5"/>
  <c r="T173" i="5"/>
  <c r="S185" i="5"/>
  <c r="G133" i="5"/>
  <c r="S133" i="5"/>
  <c r="T133" i="5" s="1"/>
  <c r="S129" i="5"/>
  <c r="T129" i="5" s="1"/>
  <c r="G119" i="5"/>
  <c r="W119" i="5" s="1"/>
  <c r="T248" i="2"/>
  <c r="G201" i="2"/>
  <c r="W201" i="2" s="1"/>
  <c r="G129" i="2"/>
  <c r="S174" i="2"/>
  <c r="T174" i="2" s="1"/>
  <c r="G248" i="2"/>
  <c r="S111" i="2"/>
  <c r="G224" i="2"/>
  <c r="W224" i="2" s="1"/>
  <c r="S134" i="2"/>
  <c r="S86" i="2"/>
  <c r="S242" i="2"/>
  <c r="T242" i="2" s="1"/>
  <c r="S113" i="2"/>
  <c r="T113" i="2"/>
  <c r="G113" i="2"/>
  <c r="V113" i="2" s="1"/>
  <c r="S159" i="2"/>
  <c r="S88" i="2"/>
  <c r="S198" i="2"/>
  <c r="T198" i="2" s="1"/>
  <c r="G198" i="2"/>
  <c r="V198" i="2" s="1"/>
  <c r="S128" i="2"/>
  <c r="T128" i="2" s="1"/>
  <c r="G131" i="2"/>
  <c r="S181" i="2"/>
  <c r="S188" i="2"/>
  <c r="S202" i="2"/>
  <c r="T202" i="2" s="1"/>
  <c r="S210" i="2"/>
  <c r="G210" i="2"/>
  <c r="W210" i="2" s="1"/>
  <c r="T137" i="2"/>
  <c r="G119" i="2"/>
  <c r="W119" i="2" s="1"/>
  <c r="G149" i="2"/>
  <c r="W149" i="2" s="1"/>
  <c r="T153" i="2"/>
  <c r="S81" i="2"/>
  <c r="T81" i="2"/>
  <c r="G81" i="2"/>
  <c r="W81" i="2" s="1"/>
  <c r="S245" i="2"/>
  <c r="T245" i="2" s="1"/>
  <c r="S143" i="2"/>
  <c r="T143" i="2" s="1"/>
  <c r="G143" i="2"/>
  <c r="V143" i="2" s="1"/>
  <c r="S132" i="2"/>
  <c r="G107" i="2"/>
  <c r="G173" i="2"/>
  <c r="G106" i="3"/>
  <c r="W106" i="3" s="1"/>
  <c r="S95" i="3"/>
  <c r="S220" i="3"/>
  <c r="S122" i="3"/>
  <c r="T122" i="3" s="1"/>
  <c r="W187" i="10"/>
  <c r="Z170" i="4"/>
  <c r="Y170" i="4"/>
  <c r="W191" i="7"/>
  <c r="G40" i="14"/>
  <c r="U211" i="3"/>
  <c r="U132" i="3"/>
  <c r="U113" i="3"/>
  <c r="U114" i="3"/>
  <c r="U236" i="3"/>
  <c r="U115" i="3"/>
  <c r="U174" i="3"/>
  <c r="G81" i="3"/>
  <c r="W81" i="3" s="1"/>
  <c r="G50" i="3"/>
  <c r="G35" i="3"/>
  <c r="U179" i="3"/>
  <c r="U165" i="3"/>
  <c r="U215" i="3"/>
  <c r="U131" i="3"/>
  <c r="U237" i="3"/>
  <c r="U197" i="3"/>
  <c r="U126" i="3"/>
  <c r="U85" i="3"/>
  <c r="U220" i="3"/>
  <c r="G70" i="3"/>
  <c r="G48" i="3"/>
  <c r="U107" i="3"/>
  <c r="U164" i="3"/>
  <c r="U153" i="3"/>
  <c r="U122" i="3"/>
  <c r="U210" i="3"/>
  <c r="U260" i="3"/>
  <c r="G64" i="3"/>
  <c r="G23" i="3"/>
  <c r="G65" i="3"/>
  <c r="G52" i="3"/>
  <c r="G19" i="3"/>
  <c r="U171" i="3"/>
  <c r="U91" i="3"/>
  <c r="U192" i="3"/>
  <c r="U178" i="3"/>
  <c r="U206" i="3"/>
  <c r="G61" i="3"/>
  <c r="U94" i="3"/>
  <c r="U117" i="3"/>
  <c r="U147" i="3"/>
  <c r="U187" i="3"/>
  <c r="G55" i="3"/>
  <c r="U191" i="3"/>
  <c r="U169" i="3"/>
  <c r="U154" i="3"/>
  <c r="U228" i="3"/>
  <c r="U227" i="3"/>
  <c r="G66" i="3"/>
  <c r="G40" i="3"/>
  <c r="G67" i="3"/>
  <c r="G56" i="3"/>
  <c r="G36" i="3"/>
  <c r="U118" i="3"/>
  <c r="U221" i="3"/>
  <c r="U163" i="3"/>
  <c r="U128" i="3"/>
  <c r="U157" i="3"/>
  <c r="U264" i="3"/>
  <c r="U209" i="3"/>
  <c r="G54" i="3"/>
  <c r="G21" i="3"/>
  <c r="G145" i="3"/>
  <c r="V145" i="3" s="1"/>
  <c r="U137" i="6"/>
  <c r="U160" i="6"/>
  <c r="U117" i="6"/>
  <c r="V117" i="6" s="1"/>
  <c r="G206" i="6"/>
  <c r="G144" i="13"/>
  <c r="W144" i="13" s="1"/>
  <c r="G113" i="13"/>
  <c r="G216" i="13"/>
  <c r="U208" i="12"/>
  <c r="G199" i="12"/>
  <c r="G173" i="12"/>
  <c r="W173" i="12" s="1"/>
  <c r="G68" i="12"/>
  <c r="G26" i="12"/>
  <c r="G187" i="13"/>
  <c r="G20" i="7"/>
  <c r="G65" i="11"/>
  <c r="V94" i="6"/>
  <c r="V133" i="12"/>
  <c r="W133" i="12" s="1"/>
  <c r="S195" i="12"/>
  <c r="T195" i="12" s="1"/>
  <c r="S176" i="12"/>
  <c r="G167" i="12"/>
  <c r="V167" i="12" s="1"/>
  <c r="S134" i="12"/>
  <c r="T134" i="12" s="1"/>
  <c r="G134" i="12"/>
  <c r="F207" i="12"/>
  <c r="S109" i="12"/>
  <c r="S133" i="12"/>
  <c r="T133" i="12" s="1"/>
  <c r="S93" i="12"/>
  <c r="T93" i="12" s="1"/>
  <c r="G226" i="12"/>
  <c r="V226" i="12" s="1"/>
  <c r="W226" i="12" s="1"/>
  <c r="G203" i="12"/>
  <c r="V203" i="12" s="1"/>
  <c r="T188" i="12"/>
  <c r="S265" i="12"/>
  <c r="T265" i="12" s="1"/>
  <c r="F267" i="12"/>
  <c r="T263" i="12"/>
  <c r="G259" i="12"/>
  <c r="V256" i="12"/>
  <c r="W256" i="12" s="1"/>
  <c r="T234" i="12"/>
  <c r="T213" i="12"/>
  <c r="T201" i="12"/>
  <c r="F209" i="12"/>
  <c r="S209" i="12" s="1"/>
  <c r="T209" i="12" s="1"/>
  <c r="G205" i="12"/>
  <c r="F208" i="12"/>
  <c r="S208" i="12" s="1"/>
  <c r="T208" i="12" s="1"/>
  <c r="G208" i="12"/>
  <c r="S207" i="12"/>
  <c r="T207" i="12" s="1"/>
  <c r="S196" i="12"/>
  <c r="T196" i="12" s="1"/>
  <c r="F210" i="12"/>
  <c r="G196" i="12"/>
  <c r="V196" i="12" s="1"/>
  <c r="S187" i="12"/>
  <c r="T187" i="12" s="1"/>
  <c r="G187" i="12"/>
  <c r="S151" i="12"/>
  <c r="T151" i="12" s="1"/>
  <c r="W87" i="12"/>
  <c r="V265" i="12"/>
  <c r="W265" i="12" s="1"/>
  <c r="V215" i="12"/>
  <c r="W215" i="12" s="1"/>
  <c r="V202" i="12"/>
  <c r="W202" i="12" s="1"/>
  <c r="S128" i="12"/>
  <c r="F165" i="12"/>
  <c r="G172" i="12"/>
  <c r="S215" i="12"/>
  <c r="T215" i="12" s="1"/>
  <c r="S184" i="12"/>
  <c r="T184" i="12" s="1"/>
  <c r="S240" i="12"/>
  <c r="T240" i="12" s="1"/>
  <c r="T87" i="12"/>
  <c r="G175" i="12"/>
  <c r="W175" i="12" s="1"/>
  <c r="S182" i="12"/>
  <c r="T182" i="12" s="1"/>
  <c r="T233" i="12"/>
  <c r="V261" i="12"/>
  <c r="W261" i="12" s="1"/>
  <c r="T86" i="12"/>
  <c r="T148" i="12"/>
  <c r="G224" i="12"/>
  <c r="W224" i="12" s="1"/>
  <c r="T128" i="12"/>
  <c r="S224" i="12"/>
  <c r="T172" i="12"/>
  <c r="F159" i="12"/>
  <c r="S159" i="12" s="1"/>
  <c r="S202" i="12"/>
  <c r="T202" i="12" s="1"/>
  <c r="G260" i="12"/>
  <c r="V260" i="12" s="1"/>
  <c r="W260" i="12" s="1"/>
  <c r="T83" i="12"/>
  <c r="T131" i="12"/>
  <c r="V184" i="12"/>
  <c r="W184" i="12" s="1"/>
  <c r="V122" i="12"/>
  <c r="G240" i="12"/>
  <c r="V263" i="12"/>
  <c r="W263" i="12" s="1"/>
  <c r="V151" i="12"/>
  <c r="W151" i="12"/>
  <c r="V183" i="12"/>
  <c r="V225" i="12"/>
  <c r="W225" i="12" s="1"/>
  <c r="V255" i="12"/>
  <c r="W255" i="12"/>
  <c r="G156" i="12"/>
  <c r="S85" i="12"/>
  <c r="T85" i="12" s="1"/>
  <c r="T84" i="12"/>
  <c r="T99" i="12"/>
  <c r="G99" i="12"/>
  <c r="G131" i="12"/>
  <c r="V131" i="12" s="1"/>
  <c r="W131" i="12" s="1"/>
  <c r="V93" i="12"/>
  <c r="W93" i="12" s="1"/>
  <c r="V91" i="12"/>
  <c r="W91" i="12" s="1"/>
  <c r="V94" i="12"/>
  <c r="W94" i="12" s="1"/>
  <c r="V81" i="12"/>
  <c r="W81" i="12" s="1"/>
  <c r="V201" i="12"/>
  <c r="W201" i="12" s="1"/>
  <c r="V121" i="12"/>
  <c r="V199" i="12"/>
  <c r="V148" i="12"/>
  <c r="W148" i="12" s="1"/>
  <c r="V257" i="12"/>
  <c r="W257" i="12" s="1"/>
  <c r="V213" i="12"/>
  <c r="W213" i="12" s="1"/>
  <c r="V198" i="12"/>
  <c r="W198" i="12" s="1"/>
  <c r="V83" i="12"/>
  <c r="W83" i="12" s="1"/>
  <c r="V115" i="12"/>
  <c r="V162" i="12"/>
  <c r="V240" i="12"/>
  <c r="W240" i="12" s="1"/>
  <c r="S257" i="10"/>
  <c r="T257" i="10" s="1"/>
  <c r="G257" i="10"/>
  <c r="V257" i="10" s="1"/>
  <c r="W257" i="10" s="1"/>
  <c r="G174" i="10"/>
  <c r="W123" i="10"/>
  <c r="F116" i="10"/>
  <c r="S116" i="10" s="1"/>
  <c r="T116" i="10" s="1"/>
  <c r="T117" i="10"/>
  <c r="G117" i="10"/>
  <c r="V117" i="10" s="1"/>
  <c r="W117" i="10" s="1"/>
  <c r="V163" i="10"/>
  <c r="V184" i="10"/>
  <c r="V259" i="10"/>
  <c r="W259" i="10" s="1"/>
  <c r="V191" i="10"/>
  <c r="V159" i="10"/>
  <c r="V171" i="10"/>
  <c r="V81" i="10"/>
  <c r="V130" i="10"/>
  <c r="V151" i="10"/>
  <c r="V126" i="10"/>
  <c r="V221" i="10"/>
  <c r="W92" i="10"/>
  <c r="G57" i="10"/>
  <c r="V256" i="10"/>
  <c r="W256" i="10" s="1"/>
  <c r="V118" i="10"/>
  <c r="V219" i="10"/>
  <c r="W219" i="10" s="1"/>
  <c r="V127" i="10"/>
  <c r="V141" i="10"/>
  <c r="W141" i="10" s="1"/>
  <c r="V175" i="10"/>
  <c r="W96" i="10"/>
  <c r="W104" i="10"/>
  <c r="V135" i="10"/>
  <c r="W135" i="10" s="1"/>
  <c r="W150" i="10"/>
  <c r="V186" i="10"/>
  <c r="W186" i="10" s="1"/>
  <c r="V85" i="10"/>
  <c r="V174" i="10"/>
  <c r="W174" i="10" s="1"/>
  <c r="W86" i="10"/>
  <c r="V86" i="10"/>
  <c r="G71" i="10"/>
  <c r="V250" i="11"/>
  <c r="W250" i="11" s="1"/>
  <c r="S241" i="11"/>
  <c r="G241" i="11"/>
  <c r="S208" i="11"/>
  <c r="T208" i="11" s="1"/>
  <c r="G208" i="11"/>
  <c r="S211" i="11"/>
  <c r="T211" i="11" s="1"/>
  <c r="G187" i="11"/>
  <c r="S187" i="11"/>
  <c r="T187" i="11" s="1"/>
  <c r="T188" i="11"/>
  <c r="G186" i="11"/>
  <c r="G188" i="11"/>
  <c r="V140" i="11"/>
  <c r="W140" i="11" s="1"/>
  <c r="G93" i="11"/>
  <c r="S93" i="11"/>
  <c r="T93" i="11" s="1"/>
  <c r="T96" i="11"/>
  <c r="V210" i="11"/>
  <c r="W210" i="11" s="1"/>
  <c r="V106" i="11"/>
  <c r="V134" i="11"/>
  <c r="W134" i="11" s="1"/>
  <c r="V225" i="11"/>
  <c r="V107" i="11"/>
  <c r="V158" i="11"/>
  <c r="V168" i="11"/>
  <c r="W253" i="7"/>
  <c r="S174" i="7"/>
  <c r="T174" i="7"/>
  <c r="G175" i="7"/>
  <c r="S175" i="7"/>
  <c r="T179" i="7"/>
  <c r="G179" i="7"/>
  <c r="F211" i="7"/>
  <c r="S211" i="7" s="1"/>
  <c r="S209" i="7"/>
  <c r="T209" i="7" s="1"/>
  <c r="G209" i="7"/>
  <c r="V209" i="7" s="1"/>
  <c r="W209" i="7" s="1"/>
  <c r="S207" i="7"/>
  <c r="T207" i="7" s="1"/>
  <c r="V206" i="7"/>
  <c r="W206" i="7" s="1"/>
  <c r="G207" i="7"/>
  <c r="V207" i="7" s="1"/>
  <c r="G196" i="7"/>
  <c r="S194" i="7"/>
  <c r="G194" i="7"/>
  <c r="W194" i="7" s="1"/>
  <c r="S196" i="7"/>
  <c r="T196" i="7" s="1"/>
  <c r="S199" i="7"/>
  <c r="T199" i="7" s="1"/>
  <c r="G187" i="7"/>
  <c r="V187" i="7" s="1"/>
  <c r="W187" i="7" s="1"/>
  <c r="T187" i="7"/>
  <c r="F202" i="7"/>
  <c r="G176" i="7"/>
  <c r="V176" i="7" s="1"/>
  <c r="S176" i="7"/>
  <c r="G177" i="7"/>
  <c r="S177" i="7"/>
  <c r="T177" i="7" s="1"/>
  <c r="G131" i="7"/>
  <c r="G130" i="7" s="1"/>
  <c r="V130" i="7" s="1"/>
  <c r="S131" i="7"/>
  <c r="T131" i="7" s="1"/>
  <c r="F130" i="7"/>
  <c r="S138" i="7"/>
  <c r="T138" i="7" s="1"/>
  <c r="S133" i="7"/>
  <c r="T133" i="7" s="1"/>
  <c r="S86" i="7"/>
  <c r="F112" i="7"/>
  <c r="S113" i="7"/>
  <c r="T113" i="7" s="1"/>
  <c r="G113" i="7"/>
  <c r="G115" i="7"/>
  <c r="S115" i="7"/>
  <c r="T115" i="7" s="1"/>
  <c r="G109" i="7"/>
  <c r="V109" i="7" s="1"/>
  <c r="W109" i="7" s="1"/>
  <c r="T109" i="7"/>
  <c r="S95" i="7"/>
  <c r="T95" i="7" s="1"/>
  <c r="S91" i="7"/>
  <c r="T91" i="7" s="1"/>
  <c r="S99" i="7"/>
  <c r="T99" i="7" s="1"/>
  <c r="S165" i="12"/>
  <c r="T165" i="12" s="1"/>
  <c r="V187" i="11"/>
  <c r="W187" i="11" s="1"/>
  <c r="V194" i="7"/>
  <c r="V138" i="7"/>
  <c r="W138" i="7" s="1"/>
  <c r="V99" i="7"/>
  <c r="W99" i="7" s="1"/>
  <c r="G213" i="14"/>
  <c r="U193" i="14"/>
  <c r="G35" i="14"/>
  <c r="U142" i="14"/>
  <c r="G158" i="14"/>
  <c r="G191" i="14"/>
  <c r="U115" i="14"/>
  <c r="G61" i="14"/>
  <c r="G68" i="14"/>
  <c r="U216" i="14"/>
  <c r="U93" i="14"/>
  <c r="U184" i="14"/>
  <c r="U103" i="14"/>
  <c r="U162" i="14"/>
  <c r="G107" i="14"/>
  <c r="U108" i="14"/>
  <c r="G147" i="14"/>
  <c r="W147" i="14" s="1"/>
  <c r="U231" i="14"/>
  <c r="U116" i="14"/>
  <c r="U234" i="14"/>
  <c r="U136" i="14"/>
  <c r="G249" i="14"/>
  <c r="G205" i="14"/>
  <c r="G63" i="14"/>
  <c r="U85" i="14"/>
  <c r="G66" i="14"/>
  <c r="U228" i="14"/>
  <c r="U157" i="14"/>
  <c r="U227" i="14"/>
  <c r="U172" i="14"/>
  <c r="G250" i="14"/>
  <c r="U139" i="14"/>
  <c r="G47" i="14"/>
  <c r="U126" i="14"/>
  <c r="U257" i="14"/>
  <c r="G19" i="14"/>
  <c r="G214" i="14"/>
  <c r="W214" i="14" s="1"/>
  <c r="U111" i="14"/>
  <c r="V111" i="14" s="1"/>
  <c r="G84" i="14"/>
  <c r="W84" i="14" s="1"/>
  <c r="U179" i="14"/>
  <c r="U204" i="14"/>
  <c r="U83" i="14"/>
  <c r="U201" i="14"/>
  <c r="U222" i="14"/>
  <c r="U221" i="14"/>
  <c r="G33" i="14"/>
  <c r="G171" i="14"/>
  <c r="W171" i="14" s="1"/>
  <c r="U106" i="14"/>
  <c r="U192" i="14"/>
  <c r="U220" i="14"/>
  <c r="G140" i="14"/>
  <c r="U154" i="14"/>
  <c r="U84" i="14"/>
  <c r="V84" i="14"/>
  <c r="G111" i="14"/>
  <c r="W111" i="14" s="1"/>
  <c r="U114" i="14"/>
  <c r="U86" i="14"/>
  <c r="G146" i="14"/>
  <c r="W146" i="14" s="1"/>
  <c r="U99" i="14"/>
  <c r="U125" i="14"/>
  <c r="U118" i="14"/>
  <c r="G131" i="14"/>
  <c r="G23" i="14"/>
  <c r="G251" i="14"/>
  <c r="U121" i="14"/>
  <c r="G25" i="14"/>
  <c r="G153" i="14"/>
  <c r="W153" i="14" s="1"/>
  <c r="U176" i="14"/>
  <c r="U186" i="14"/>
  <c r="G127" i="14"/>
  <c r="W127" i="14" s="1"/>
  <c r="U255" i="14"/>
  <c r="G193" i="14"/>
  <c r="W193" i="14" s="1"/>
  <c r="G203" i="14"/>
  <c r="G186" i="14"/>
  <c r="G222" i="14"/>
  <c r="G55" i="14"/>
  <c r="G255" i="14"/>
  <c r="U156" i="14"/>
  <c r="U197" i="14"/>
  <c r="U195" i="14"/>
  <c r="G229" i="14"/>
  <c r="W229" i="14" s="1"/>
  <c r="U112" i="14"/>
  <c r="U249" i="14"/>
  <c r="V249" i="14" s="1"/>
  <c r="U205" i="14"/>
  <c r="U131" i="14"/>
  <c r="U140" i="14"/>
  <c r="G152" i="14"/>
  <c r="W152" i="14" s="1"/>
  <c r="U175" i="14"/>
  <c r="G122" i="14"/>
  <c r="G150" i="14"/>
  <c r="W150" i="14" s="1"/>
  <c r="G114" i="14"/>
  <c r="W114" i="14" s="1"/>
  <c r="G81" i="14"/>
  <c r="W81" i="14" s="1"/>
  <c r="G119" i="14"/>
  <c r="G175" i="14"/>
  <c r="U187" i="14"/>
  <c r="U173" i="14"/>
  <c r="G204" i="14"/>
  <c r="W204" i="14" s="1"/>
  <c r="U219" i="14"/>
  <c r="G83" i="14"/>
  <c r="W83" i="14" s="1"/>
  <c r="U242" i="14"/>
  <c r="V242" i="14" s="1"/>
  <c r="W242" i="14" s="1"/>
  <c r="U152" i="14"/>
  <c r="G18" i="14"/>
  <c r="U224" i="14"/>
  <c r="U120" i="14"/>
  <c r="V120" i="14" s="1"/>
  <c r="W120" i="14" s="1"/>
  <c r="G189" i="14"/>
  <c r="G202" i="14"/>
  <c r="G99" i="14"/>
  <c r="U153" i="14"/>
  <c r="V153" i="14" s="1"/>
  <c r="U149" i="14"/>
  <c r="G172" i="14"/>
  <c r="U150" i="14"/>
  <c r="U165" i="14"/>
  <c r="U155" i="14"/>
  <c r="G108" i="14"/>
  <c r="V108" i="14" s="1"/>
  <c r="U213" i="14"/>
  <c r="V213" i="14" s="1"/>
  <c r="U113" i="14"/>
  <c r="G174" i="14"/>
  <c r="W174" i="14" s="1"/>
  <c r="U161" i="14"/>
  <c r="U123" i="14"/>
  <c r="G69" i="14"/>
  <c r="U137" i="14"/>
  <c r="U250" i="14"/>
  <c r="U183" i="14"/>
  <c r="G120" i="14"/>
  <c r="U124" i="14"/>
  <c r="G164" i="14"/>
  <c r="W164" i="14" s="1"/>
  <c r="G20" i="14"/>
  <c r="U81" i="14"/>
  <c r="U122" i="14"/>
  <c r="U92" i="14"/>
  <c r="S98" i="14"/>
  <c r="T98" i="14" s="1"/>
  <c r="G97" i="14"/>
  <c r="G139" i="14"/>
  <c r="S205" i="14"/>
  <c r="T205" i="14" s="1"/>
  <c r="G190" i="14"/>
  <c r="T190" i="14"/>
  <c r="T192" i="14"/>
  <c r="G192" i="14"/>
  <c r="G177" i="14"/>
  <c r="V177" i="14" s="1"/>
  <c r="W177" i="14" s="1"/>
  <c r="T144" i="14"/>
  <c r="S138" i="14"/>
  <c r="T138" i="14" s="1"/>
  <c r="G138" i="14"/>
  <c r="G126" i="14"/>
  <c r="S125" i="14"/>
  <c r="T125" i="14" s="1"/>
  <c r="S119" i="14"/>
  <c r="T119" i="14" s="1"/>
  <c r="F118" i="14"/>
  <c r="S118" i="14" s="1"/>
  <c r="S93" i="14"/>
  <c r="T93" i="14" s="1"/>
  <c r="G93" i="14"/>
  <c r="S94" i="14"/>
  <c r="T94" i="14"/>
  <c r="S248" i="13"/>
  <c r="T248" i="13" s="1"/>
  <c r="V132" i="13"/>
  <c r="G143" i="13"/>
  <c r="F229" i="13"/>
  <c r="S229" i="13" s="1"/>
  <c r="S225" i="13"/>
  <c r="T225" i="13" s="1"/>
  <c r="F204" i="13"/>
  <c r="S204" i="13" s="1"/>
  <c r="T204" i="13" s="1"/>
  <c r="G200" i="13"/>
  <c r="T198" i="13"/>
  <c r="S200" i="13"/>
  <c r="T200" i="13" s="1"/>
  <c r="V202" i="13"/>
  <c r="W202" i="13" s="1"/>
  <c r="G173" i="13"/>
  <c r="V173" i="13" s="1"/>
  <c r="W173" i="13" s="1"/>
  <c r="T173" i="13"/>
  <c r="T143" i="13"/>
  <c r="S140" i="13"/>
  <c r="T140" i="13" s="1"/>
  <c r="F139" i="13"/>
  <c r="S139" i="13"/>
  <c r="T139" i="13" s="1"/>
  <c r="T135" i="13"/>
  <c r="S128" i="13"/>
  <c r="T128" i="13" s="1"/>
  <c r="G128" i="13"/>
  <c r="F127" i="13"/>
  <c r="S127" i="13" s="1"/>
  <c r="W198" i="2"/>
  <c r="W190" i="14"/>
  <c r="G229" i="10"/>
  <c r="V229" i="10" s="1"/>
  <c r="W227" i="10"/>
  <c r="S229" i="10"/>
  <c r="W212" i="10"/>
  <c r="T95" i="2"/>
  <c r="S95" i="2"/>
  <c r="V87" i="13"/>
  <c r="V99" i="14"/>
  <c r="V162" i="13"/>
  <c r="W248" i="13"/>
  <c r="Y154" i="4"/>
  <c r="V218" i="13"/>
  <c r="J57" i="4"/>
  <c r="G245" i="14"/>
  <c r="U211" i="14"/>
  <c r="G246" i="14"/>
  <c r="U119" i="14"/>
  <c r="V119" i="14" s="1"/>
  <c r="W119" i="14" s="1"/>
  <c r="U109" i="14"/>
  <c r="U163" i="14"/>
  <c r="G38" i="14"/>
  <c r="U141" i="14"/>
  <c r="G54" i="14"/>
  <c r="U251" i="14"/>
  <c r="G123" i="14"/>
  <c r="W123" i="14" s="1"/>
  <c r="G163" i="14"/>
  <c r="W163" i="14" s="1"/>
  <c r="U94" i="14"/>
  <c r="U167" i="14"/>
  <c r="G121" i="14"/>
  <c r="G51" i="14"/>
  <c r="G149" i="14"/>
  <c r="V149" i="14" s="1"/>
  <c r="G52" i="14"/>
  <c r="U107" i="14"/>
  <c r="U159" i="14"/>
  <c r="U88" i="14"/>
  <c r="G62" i="14"/>
  <c r="U127" i="14"/>
  <c r="G24" i="14"/>
  <c r="U143" i="14"/>
  <c r="U128" i="14"/>
  <c r="V128" i="14" s="1"/>
  <c r="U238" i="14"/>
  <c r="G27" i="14"/>
  <c r="U253" i="14"/>
  <c r="G39" i="14"/>
  <c r="G21" i="14"/>
  <c r="G43" i="14"/>
  <c r="U102" i="14"/>
  <c r="U146" i="14"/>
  <c r="G41" i="14"/>
  <c r="U110" i="14"/>
  <c r="U170" i="14"/>
  <c r="G70" i="14"/>
  <c r="U191" i="14"/>
  <c r="U117" i="14"/>
  <c r="G159" i="14"/>
  <c r="G221" i="14"/>
  <c r="G227" i="14"/>
  <c r="G67" i="14"/>
  <c r="U130" i="14"/>
  <c r="G26" i="14"/>
  <c r="U247" i="14"/>
  <c r="G135" i="14"/>
  <c r="U147" i="14"/>
  <c r="U190" i="14"/>
  <c r="V190" i="14" s="1"/>
  <c r="G95" i="14"/>
  <c r="G32" i="14"/>
  <c r="U229" i="14"/>
  <c r="V229" i="14" s="1"/>
  <c r="U132" i="14"/>
  <c r="U174" i="14"/>
  <c r="U196" i="14"/>
  <c r="U207" i="14"/>
  <c r="U189" i="14"/>
  <c r="V189" i="14" s="1"/>
  <c r="W189" i="14" s="1"/>
  <c r="U98" i="14"/>
  <c r="U145" i="14"/>
  <c r="G94" i="14"/>
  <c r="G109" i="14"/>
  <c r="G115" i="14"/>
  <c r="W115" i="14" s="1"/>
  <c r="G144" i="14"/>
  <c r="G98" i="14"/>
  <c r="U134" i="14"/>
  <c r="U91" i="14"/>
  <c r="G65" i="14"/>
  <c r="G141" i="14"/>
  <c r="U160" i="14"/>
  <c r="G37" i="14"/>
  <c r="U198" i="14"/>
  <c r="U214" i="14"/>
  <c r="G183" i="14"/>
  <c r="W183" i="14" s="1"/>
  <c r="G143" i="14"/>
  <c r="G64" i="14"/>
  <c r="U138" i="14"/>
  <c r="G56" i="14"/>
  <c r="G176" i="14"/>
  <c r="U87" i="14"/>
  <c r="G253" i="14"/>
  <c r="U148" i="14"/>
  <c r="U212" i="14"/>
  <c r="G50" i="14"/>
  <c r="G36" i="14"/>
  <c r="G125" i="14"/>
  <c r="G91" i="14"/>
  <c r="U164" i="14"/>
  <c r="V164" i="14" s="1"/>
  <c r="G49" i="14"/>
  <c r="G157" i="14"/>
  <c r="W157" i="14" s="1"/>
  <c r="U101" i="14"/>
  <c r="U158" i="14"/>
  <c r="V158" i="14" s="1"/>
  <c r="G88" i="14"/>
  <c r="G161" i="14"/>
  <c r="U243" i="14"/>
  <c r="G53" i="14"/>
  <c r="U177" i="14"/>
  <c r="U171" i="14"/>
  <c r="V171" i="14" s="1"/>
  <c r="G129" i="14"/>
  <c r="W129" i="14" s="1"/>
  <c r="G34" i="14"/>
  <c r="U129" i="14"/>
  <c r="V129" i="14" s="1"/>
  <c r="G201" i="14"/>
  <c r="V201" i="14" s="1"/>
  <c r="W201" i="14" s="1"/>
  <c r="U135" i="14"/>
  <c r="U151" i="14"/>
  <c r="G85" i="14"/>
  <c r="W85" i="14" s="1"/>
  <c r="G155" i="14"/>
  <c r="G22" i="14"/>
  <c r="U133" i="14"/>
  <c r="G48" i="14"/>
  <c r="V119" i="6"/>
  <c r="V158" i="6"/>
  <c r="V155" i="6"/>
  <c r="U144" i="14"/>
  <c r="Z186" i="4"/>
  <c r="V123" i="13"/>
  <c r="W123" i="13" s="1"/>
  <c r="U202" i="14"/>
  <c r="V202" i="14" s="1"/>
  <c r="W202" i="14" s="1"/>
  <c r="G132" i="14"/>
  <c r="G173" i="14"/>
  <c r="W173" i="14" s="1"/>
  <c r="G184" i="14"/>
  <c r="W184" i="14"/>
  <c r="G242" i="14"/>
  <c r="V112" i="13"/>
  <c r="G244" i="13"/>
  <c r="G135" i="13"/>
  <c r="V135" i="13" s="1"/>
  <c r="W135" i="13" s="1"/>
  <c r="G48" i="13"/>
  <c r="U81" i="13"/>
  <c r="G148" i="13"/>
  <c r="W148" i="13" s="1"/>
  <c r="U255" i="13"/>
  <c r="U213" i="13"/>
  <c r="U184" i="13"/>
  <c r="V184" i="13" s="1"/>
  <c r="U245" i="13"/>
  <c r="U210" i="13"/>
  <c r="U181" i="13"/>
  <c r="U247" i="13"/>
  <c r="U204" i="13"/>
  <c r="U170" i="13"/>
  <c r="U152" i="13"/>
  <c r="U128" i="13"/>
  <c r="U201" i="13"/>
  <c r="G155" i="13"/>
  <c r="W155" i="13" s="1"/>
  <c r="U142" i="13"/>
  <c r="U126" i="13"/>
  <c r="U168" i="13"/>
  <c r="U147" i="13"/>
  <c r="U131" i="13"/>
  <c r="V131" i="13" s="1"/>
  <c r="G35" i="13"/>
  <c r="G67" i="13"/>
  <c r="U95" i="13"/>
  <c r="V95" i="13" s="1"/>
  <c r="U118" i="13"/>
  <c r="U145" i="13"/>
  <c r="G33" i="13"/>
  <c r="G55" i="13"/>
  <c r="U93" i="13"/>
  <c r="U116" i="13"/>
  <c r="V116" i="13" s="1"/>
  <c r="G149" i="13"/>
  <c r="G120" i="13"/>
  <c r="W120" i="13" s="1"/>
  <c r="G210" i="13"/>
  <c r="W210" i="13" s="1"/>
  <c r="G167" i="13"/>
  <c r="W167" i="13" s="1"/>
  <c r="G52" i="13"/>
  <c r="U111" i="13"/>
  <c r="U251" i="13"/>
  <c r="U253" i="13"/>
  <c r="U180" i="13"/>
  <c r="U134" i="13"/>
  <c r="U155" i="13"/>
  <c r="G49" i="13"/>
  <c r="U114" i="13"/>
  <c r="G61" i="13"/>
  <c r="G209" i="13"/>
  <c r="W209" i="13" s="1"/>
  <c r="G189" i="13"/>
  <c r="G111" i="13"/>
  <c r="G198" i="13"/>
  <c r="U94" i="13"/>
  <c r="V94" i="13" s="1"/>
  <c r="W94" i="13" s="1"/>
  <c r="G68" i="13"/>
  <c r="U209" i="13"/>
  <c r="G108" i="13"/>
  <c r="G64" i="13"/>
  <c r="U161" i="13"/>
  <c r="V161" i="13" s="1"/>
  <c r="U129" i="13"/>
  <c r="V129" i="13" s="1"/>
  <c r="U105" i="13"/>
  <c r="G54" i="13"/>
  <c r="G159" i="13"/>
  <c r="G240" i="13"/>
  <c r="G160" i="13"/>
  <c r="G169" i="13"/>
  <c r="W169" i="13" s="1"/>
  <c r="G171" i="13"/>
  <c r="V171" i="13" s="1"/>
  <c r="G226" i="13"/>
  <c r="V226" i="13" s="1"/>
  <c r="G228" i="14"/>
  <c r="T220" i="14"/>
  <c r="G220" i="14"/>
  <c r="W220" i="14" s="1"/>
  <c r="W213" i="14"/>
  <c r="G212" i="14"/>
  <c r="W212" i="14"/>
  <c r="T212" i="14"/>
  <c r="F198" i="14"/>
  <c r="S198" i="14" s="1"/>
  <c r="T198" i="14" s="1"/>
  <c r="F197" i="14"/>
  <c r="S193" i="14"/>
  <c r="T187" i="14"/>
  <c r="T195" i="14"/>
  <c r="G187" i="14"/>
  <c r="S196" i="14"/>
  <c r="F179" i="14"/>
  <c r="S179" i="14" s="1"/>
  <c r="T179" i="14" s="1"/>
  <c r="G170" i="14"/>
  <c r="W170" i="14" s="1"/>
  <c r="S170" i="14"/>
  <c r="G165" i="14"/>
  <c r="G162" i="14"/>
  <c r="T162" i="14"/>
  <c r="T159" i="14"/>
  <c r="W159" i="14"/>
  <c r="F142" i="14"/>
  <c r="G133" i="14"/>
  <c r="W133" i="14" s="1"/>
  <c r="F130" i="14"/>
  <c r="G134" i="14"/>
  <c r="S133" i="14"/>
  <c r="F124" i="14"/>
  <c r="S124" i="14" s="1"/>
  <c r="G128" i="14"/>
  <c r="W128" i="14" s="1"/>
  <c r="S128" i="14"/>
  <c r="T113" i="14"/>
  <c r="G116" i="14"/>
  <c r="S115" i="14"/>
  <c r="G113" i="14"/>
  <c r="V113" i="14" s="1"/>
  <c r="W158" i="14"/>
  <c r="V121" i="14"/>
  <c r="W121" i="14" s="1"/>
  <c r="W161" i="14"/>
  <c r="G86" i="14"/>
  <c r="T87" i="14"/>
  <c r="S86" i="14"/>
  <c r="W226" i="13"/>
  <c r="T226" i="13"/>
  <c r="G211" i="13"/>
  <c r="G201" i="13"/>
  <c r="W187" i="13"/>
  <c r="F195" i="13"/>
  <c r="S180" i="13"/>
  <c r="F192" i="13"/>
  <c r="F193" i="13"/>
  <c r="T193" i="13" s="1"/>
  <c r="G183" i="13"/>
  <c r="S183" i="13"/>
  <c r="T180" i="13"/>
  <c r="W171" i="13"/>
  <c r="G168" i="13"/>
  <c r="W158" i="13"/>
  <c r="S160" i="13"/>
  <c r="S158" i="13"/>
  <c r="T160" i="13"/>
  <c r="F157" i="13"/>
  <c r="S157" i="13" s="1"/>
  <c r="G156" i="13"/>
  <c r="F151" i="13"/>
  <c r="T152" i="13"/>
  <c r="S156" i="13"/>
  <c r="G152" i="13"/>
  <c r="F145" i="13"/>
  <c r="T146" i="13"/>
  <c r="G146" i="13"/>
  <c r="T126" i="13"/>
  <c r="G126" i="13"/>
  <c r="G124" i="13"/>
  <c r="G118" i="13"/>
  <c r="W118" i="13" s="1"/>
  <c r="F115" i="13"/>
  <c r="T116" i="13"/>
  <c r="G116" i="13"/>
  <c r="T113" i="13"/>
  <c r="W104" i="13"/>
  <c r="G107" i="13"/>
  <c r="W107" i="13" s="1"/>
  <c r="T88" i="13"/>
  <c r="F100" i="13"/>
  <c r="S100" i="13" s="1"/>
  <c r="T100" i="13" s="1"/>
  <c r="S86" i="13"/>
  <c r="S88" i="13"/>
  <c r="G84" i="13"/>
  <c r="V84" i="13" s="1"/>
  <c r="G83" i="13"/>
  <c r="F244" i="12"/>
  <c r="S244" i="12" s="1"/>
  <c r="G232" i="12"/>
  <c r="T223" i="12"/>
  <c r="F228" i="12"/>
  <c r="G216" i="12"/>
  <c r="S216" i="12"/>
  <c r="T186" i="12"/>
  <c r="G186" i="12"/>
  <c r="W186" i="12" s="1"/>
  <c r="F191" i="12"/>
  <c r="S183" i="12"/>
  <c r="W183" i="12"/>
  <c r="F171" i="12"/>
  <c r="T175" i="12"/>
  <c r="V168" i="12"/>
  <c r="T167" i="12"/>
  <c r="S169" i="12"/>
  <c r="T169" i="12"/>
  <c r="G176" i="12"/>
  <c r="W176" i="12" s="1"/>
  <c r="W163" i="12"/>
  <c r="V163" i="12"/>
  <c r="G159" i="12"/>
  <c r="W159" i="12" s="1"/>
  <c r="W154" i="12"/>
  <c r="T163" i="12"/>
  <c r="F153" i="12"/>
  <c r="T153" i="12" s="1"/>
  <c r="S163" i="12"/>
  <c r="S155" i="12"/>
  <c r="S162" i="12"/>
  <c r="G155" i="12"/>
  <c r="S161" i="12"/>
  <c r="V123" i="12"/>
  <c r="W123" i="12"/>
  <c r="T119" i="12"/>
  <c r="S119" i="12"/>
  <c r="V125" i="12"/>
  <c r="F124" i="12"/>
  <c r="G120" i="12"/>
  <c r="V120" i="12" s="1"/>
  <c r="S123" i="12"/>
  <c r="G119" i="12"/>
  <c r="S111" i="12"/>
  <c r="V113" i="12"/>
  <c r="T107" i="12"/>
  <c r="S113" i="12"/>
  <c r="G107" i="12"/>
  <c r="V107" i="12" s="1"/>
  <c r="G111" i="12"/>
  <c r="S116" i="12"/>
  <c r="G116" i="12"/>
  <c r="V116" i="12" s="1"/>
  <c r="V86" i="12"/>
  <c r="F101" i="12"/>
  <c r="S101" i="12" s="1"/>
  <c r="T101" i="12" s="1"/>
  <c r="G88" i="12"/>
  <c r="T88" i="12"/>
  <c r="G228" i="11"/>
  <c r="G218" i="11"/>
  <c r="W218" i="11" s="1"/>
  <c r="F192" i="11"/>
  <c r="T192" i="11" s="1"/>
  <c r="S181" i="11"/>
  <c r="G181" i="11"/>
  <c r="V181" i="11"/>
  <c r="S169" i="11"/>
  <c r="G169" i="11"/>
  <c r="V169" i="11" s="1"/>
  <c r="S171" i="11"/>
  <c r="V154" i="11"/>
  <c r="G155" i="11"/>
  <c r="W155" i="11" s="1"/>
  <c r="S161" i="11"/>
  <c r="F151" i="11"/>
  <c r="S151" i="11" s="1"/>
  <c r="G161" i="11"/>
  <c r="T155" i="11"/>
  <c r="F157" i="11"/>
  <c r="T157" i="11" s="1"/>
  <c r="W158" i="11"/>
  <c r="F145" i="11"/>
  <c r="T145" i="11" s="1"/>
  <c r="G150" i="11"/>
  <c r="W150" i="11" s="1"/>
  <c r="G135" i="11"/>
  <c r="V128" i="11"/>
  <c r="G125" i="11"/>
  <c r="V129" i="11"/>
  <c r="G131" i="11"/>
  <c r="S125" i="11"/>
  <c r="T131" i="11"/>
  <c r="S128" i="11"/>
  <c r="F115" i="11"/>
  <c r="S115" i="11" s="1"/>
  <c r="G116" i="11"/>
  <c r="G115" i="11" s="1"/>
  <c r="W115" i="11" s="1"/>
  <c r="G112" i="11"/>
  <c r="G113" i="11"/>
  <c r="V113" i="11" s="1"/>
  <c r="S113" i="11"/>
  <c r="S112" i="11"/>
  <c r="G108" i="11"/>
  <c r="W108" i="11" s="1"/>
  <c r="T98" i="11"/>
  <c r="S88" i="11"/>
  <c r="G85" i="11"/>
  <c r="G86" i="11"/>
  <c r="G88" i="11"/>
  <c r="W88" i="11" s="1"/>
  <c r="T86" i="11"/>
  <c r="G192" i="11"/>
  <c r="W192" i="11" s="1"/>
  <c r="W180" i="11"/>
  <c r="W83" i="11"/>
  <c r="V144" i="11"/>
  <c r="W106" i="11"/>
  <c r="V152" i="11"/>
  <c r="W152" i="11"/>
  <c r="W84" i="11"/>
  <c r="V84" i="11"/>
  <c r="W130" i="11"/>
  <c r="V130" i="11"/>
  <c r="W181" i="11"/>
  <c r="W201" i="11"/>
  <c r="W87" i="11"/>
  <c r="V87" i="11"/>
  <c r="V126" i="11"/>
  <c r="G103" i="11"/>
  <c r="F231" i="10"/>
  <c r="S231" i="10" s="1"/>
  <c r="G228" i="10"/>
  <c r="S228" i="10"/>
  <c r="G213" i="10"/>
  <c r="W213" i="10" s="1"/>
  <c r="T211" i="10"/>
  <c r="F216" i="10"/>
  <c r="T216" i="10" s="1"/>
  <c r="G211" i="10"/>
  <c r="V211" i="10" s="1"/>
  <c r="S212" i="10"/>
  <c r="T213" i="10"/>
  <c r="G205" i="10"/>
  <c r="W205" i="10" s="1"/>
  <c r="V203" i="10"/>
  <c r="G201" i="10"/>
  <c r="G202" i="10"/>
  <c r="W202" i="10" s="1"/>
  <c r="F197" i="10"/>
  <c r="G193" i="10"/>
  <c r="V193" i="10" s="1"/>
  <c r="G192" i="10"/>
  <c r="S192" i="10"/>
  <c r="T193" i="10"/>
  <c r="G195" i="10"/>
  <c r="V195" i="10" s="1"/>
  <c r="F198" i="10"/>
  <c r="S198" i="10" s="1"/>
  <c r="W184" i="10"/>
  <c r="F195" i="10"/>
  <c r="S184" i="10"/>
  <c r="W168" i="10"/>
  <c r="T171" i="10"/>
  <c r="V149" i="10"/>
  <c r="W149" i="10"/>
  <c r="V154" i="10"/>
  <c r="W154" i="10"/>
  <c r="W156" i="10"/>
  <c r="V156" i="10"/>
  <c r="W160" i="10"/>
  <c r="F140" i="10"/>
  <c r="S140" i="10" s="1"/>
  <c r="T140" i="10" s="1"/>
  <c r="G144" i="10"/>
  <c r="F158" i="10"/>
  <c r="T158" i="10" s="1"/>
  <c r="T162" i="10"/>
  <c r="F152" i="10"/>
  <c r="S152" i="10" s="1"/>
  <c r="S149" i="10"/>
  <c r="T156" i="10"/>
  <c r="T145" i="10"/>
  <c r="S145" i="10"/>
  <c r="T147" i="10"/>
  <c r="V148" i="10"/>
  <c r="G162" i="10"/>
  <c r="W162" i="10" s="1"/>
  <c r="S156" i="10"/>
  <c r="F146" i="10"/>
  <c r="S146" i="10" s="1"/>
  <c r="V147" i="10"/>
  <c r="G142" i="10"/>
  <c r="V142" i="10" s="1"/>
  <c r="T157" i="10"/>
  <c r="T149" i="10"/>
  <c r="G146" i="10"/>
  <c r="V146" i="10" s="1"/>
  <c r="S154" i="10"/>
  <c r="S137" i="10"/>
  <c r="G139" i="10"/>
  <c r="S139" i="10"/>
  <c r="G137" i="10"/>
  <c r="W137" i="10" s="1"/>
  <c r="W125" i="10"/>
  <c r="V125" i="10"/>
  <c r="T122" i="10"/>
  <c r="T131" i="10"/>
  <c r="V124" i="10"/>
  <c r="F128" i="10"/>
  <c r="T128" i="10" s="1"/>
  <c r="G131" i="10"/>
  <c r="V131" i="10" s="1"/>
  <c r="G129" i="10"/>
  <c r="V129" i="10" s="1"/>
  <c r="S125" i="10"/>
  <c r="T127" i="10"/>
  <c r="T126" i="10"/>
  <c r="G120" i="10"/>
  <c r="W120" i="10" s="1"/>
  <c r="V119" i="10"/>
  <c r="S119" i="10"/>
  <c r="G121" i="10"/>
  <c r="V121" i="10" s="1"/>
  <c r="G114" i="10"/>
  <c r="V114" i="10" s="1"/>
  <c r="T114" i="10"/>
  <c r="G106" i="10"/>
  <c r="V106" i="10" s="1"/>
  <c r="S106" i="10"/>
  <c r="G94" i="10"/>
  <c r="V94" i="10" s="1"/>
  <c r="S94" i="10"/>
  <c r="V87" i="10"/>
  <c r="W87" i="10"/>
  <c r="F100" i="10"/>
  <c r="V232" i="7"/>
  <c r="S233" i="7"/>
  <c r="F236" i="7"/>
  <c r="W232" i="7"/>
  <c r="G233" i="7"/>
  <c r="V233" i="7" s="1"/>
  <c r="S215" i="7"/>
  <c r="T215" i="7"/>
  <c r="S217" i="7"/>
  <c r="G215" i="7"/>
  <c r="G217" i="7"/>
  <c r="V217" i="7" s="1"/>
  <c r="V216" i="7"/>
  <c r="F201" i="7"/>
  <c r="S197" i="7"/>
  <c r="G197" i="7"/>
  <c r="V149" i="7"/>
  <c r="W149" i="7"/>
  <c r="W161" i="7"/>
  <c r="V168" i="7"/>
  <c r="G162" i="7"/>
  <c r="W162" i="7" s="1"/>
  <c r="S140" i="7"/>
  <c r="S153" i="7"/>
  <c r="G141" i="7"/>
  <c r="T159" i="7"/>
  <c r="S152" i="7"/>
  <c r="S142" i="7"/>
  <c r="W142" i="7"/>
  <c r="T141" i="7"/>
  <c r="T149" i="7"/>
  <c r="T152" i="7"/>
  <c r="T160" i="7"/>
  <c r="T162" i="7"/>
  <c r="T165" i="7"/>
  <c r="S160" i="7"/>
  <c r="G165" i="7"/>
  <c r="G166" i="7"/>
  <c r="W166" i="7" s="1"/>
  <c r="G153" i="7"/>
  <c r="W153" i="7" s="1"/>
  <c r="G159" i="7"/>
  <c r="G147" i="7"/>
  <c r="F163" i="7"/>
  <c r="S163" i="7" s="1"/>
  <c r="T164" i="7"/>
  <c r="G121" i="7"/>
  <c r="W121" i="7" s="1"/>
  <c r="G123" i="7"/>
  <c r="W123" i="7" s="1"/>
  <c r="S121" i="7"/>
  <c r="V120" i="7"/>
  <c r="F106" i="7"/>
  <c r="S106" i="7" s="1"/>
  <c r="T106" i="7" s="1"/>
  <c r="S111" i="7"/>
  <c r="G111" i="7"/>
  <c r="V111" i="7" s="1"/>
  <c r="S85" i="7"/>
  <c r="G233" i="6"/>
  <c r="T226" i="6"/>
  <c r="F229" i="6"/>
  <c r="S229" i="6" s="1"/>
  <c r="S226" i="6"/>
  <c r="G219" i="6"/>
  <c r="T216" i="6"/>
  <c r="G189" i="6"/>
  <c r="V189" i="6" s="1"/>
  <c r="W198" i="6"/>
  <c r="W192" i="6"/>
  <c r="G191" i="6"/>
  <c r="W191" i="6" s="1"/>
  <c r="S194" i="6"/>
  <c r="F201" i="6"/>
  <c r="T201" i="6" s="1"/>
  <c r="T189" i="6"/>
  <c r="G188" i="6"/>
  <c r="G200" i="6" s="1"/>
  <c r="W200" i="6" s="1"/>
  <c r="G194" i="6"/>
  <c r="S191" i="6"/>
  <c r="G177" i="6"/>
  <c r="S177" i="6"/>
  <c r="G175" i="6"/>
  <c r="W175" i="6" s="1"/>
  <c r="F133" i="6"/>
  <c r="S133" i="6" s="1"/>
  <c r="T135" i="6"/>
  <c r="G136" i="6"/>
  <c r="G131" i="6"/>
  <c r="W131" i="6" s="1"/>
  <c r="T131" i="6"/>
  <c r="G122" i="6"/>
  <c r="W122" i="6" s="1"/>
  <c r="F121" i="6"/>
  <c r="T121" i="6" s="1"/>
  <c r="T125" i="6"/>
  <c r="T122" i="6"/>
  <c r="G116" i="6"/>
  <c r="W116" i="6" s="1"/>
  <c r="F115" i="6"/>
  <c r="T115" i="6" s="1"/>
  <c r="S116" i="6"/>
  <c r="G113" i="6"/>
  <c r="V113" i="6" s="1"/>
  <c r="S106" i="6"/>
  <c r="F103" i="6"/>
  <c r="S103" i="6" s="1"/>
  <c r="T103" i="6" s="1"/>
  <c r="G106" i="6"/>
  <c r="G96" i="6"/>
  <c r="W96" i="6" s="1"/>
  <c r="S96" i="6"/>
  <c r="S86" i="6"/>
  <c r="G88" i="6"/>
  <c r="G86" i="6"/>
  <c r="T86" i="6"/>
  <c r="T88" i="6"/>
  <c r="W193" i="5"/>
  <c r="G200" i="5"/>
  <c r="T199" i="5"/>
  <c r="T203" i="5"/>
  <c r="T194" i="5"/>
  <c r="T193" i="5"/>
  <c r="G183" i="5"/>
  <c r="S180" i="5"/>
  <c r="G180" i="5"/>
  <c r="V180" i="5" s="1"/>
  <c r="W171" i="5"/>
  <c r="V172" i="5"/>
  <c r="S167" i="5"/>
  <c r="G162" i="5"/>
  <c r="W162" i="5" s="1"/>
  <c r="S165" i="5"/>
  <c r="S169" i="5"/>
  <c r="G167" i="5"/>
  <c r="S159" i="5"/>
  <c r="G169" i="5"/>
  <c r="S156" i="5"/>
  <c r="G156" i="5"/>
  <c r="V156" i="5" s="1"/>
  <c r="S122" i="5"/>
  <c r="G108" i="5"/>
  <c r="V120" i="5"/>
  <c r="G110" i="5"/>
  <c r="V110" i="5" s="1"/>
  <c r="T108" i="5"/>
  <c r="T126" i="5"/>
  <c r="W125" i="5"/>
  <c r="G107" i="5"/>
  <c r="S125" i="5"/>
  <c r="S105" i="5"/>
  <c r="T111" i="5"/>
  <c r="G113" i="5"/>
  <c r="S113" i="5"/>
  <c r="T125" i="5"/>
  <c r="G111" i="5"/>
  <c r="T107" i="5"/>
  <c r="S130" i="5"/>
  <c r="S96" i="5"/>
  <c r="G96" i="5"/>
  <c r="V96" i="5" s="1"/>
  <c r="G88" i="5"/>
  <c r="W88" i="5" s="1"/>
  <c r="T84" i="5"/>
  <c r="G84" i="5"/>
  <c r="G217" i="2"/>
  <c r="W217" i="2" s="1"/>
  <c r="G208" i="2"/>
  <c r="W208" i="2" s="1"/>
  <c r="G211" i="2"/>
  <c r="T211" i="2"/>
  <c r="G209" i="2"/>
  <c r="W209" i="2" s="1"/>
  <c r="S190" i="2"/>
  <c r="G183" i="2"/>
  <c r="W183" i="2" s="1"/>
  <c r="G188" i="2"/>
  <c r="W188" i="2" s="1"/>
  <c r="G187" i="2"/>
  <c r="T168" i="2"/>
  <c r="G170" i="2"/>
  <c r="W170" i="2" s="1"/>
  <c r="G168" i="2"/>
  <c r="W168" i="2" s="1"/>
  <c r="G153" i="2"/>
  <c r="W153" i="2" s="1"/>
  <c r="T149" i="2"/>
  <c r="G162" i="2"/>
  <c r="W162" i="2" s="1"/>
  <c r="S135" i="2"/>
  <c r="G136" i="2"/>
  <c r="W136" i="2" s="1"/>
  <c r="V120" i="2"/>
  <c r="S122" i="2"/>
  <c r="G122" i="2"/>
  <c r="T114" i="2"/>
  <c r="V105" i="2"/>
  <c r="G94" i="2"/>
  <c r="W94" i="2" s="1"/>
  <c r="G96" i="2"/>
  <c r="W96" i="2" s="1"/>
  <c r="G87" i="2"/>
  <c r="W87" i="2" s="1"/>
  <c r="G84" i="2"/>
  <c r="V84" i="2" s="1"/>
  <c r="T87" i="2"/>
  <c r="T88" i="2"/>
  <c r="G191" i="3"/>
  <c r="V253" i="14"/>
  <c r="W253" i="14" s="1"/>
  <c r="V94" i="14"/>
  <c r="G195" i="14"/>
  <c r="W195" i="14" s="1"/>
  <c r="V184" i="14"/>
  <c r="V176" i="14"/>
  <c r="W176" i="14" s="1"/>
  <c r="W111" i="13"/>
  <c r="W88" i="14"/>
  <c r="V227" i="14"/>
  <c r="W227" i="14" s="1"/>
  <c r="V115" i="14"/>
  <c r="S197" i="14"/>
  <c r="T197" i="14"/>
  <c r="V187" i="14"/>
  <c r="W187" i="14"/>
  <c r="W162" i="14"/>
  <c r="S142" i="14"/>
  <c r="T142" i="14" s="1"/>
  <c r="S130" i="14"/>
  <c r="W113" i="14"/>
  <c r="W86" i="14"/>
  <c r="W201" i="13"/>
  <c r="T192" i="13"/>
  <c r="S192" i="13"/>
  <c r="G193" i="13"/>
  <c r="W183" i="13"/>
  <c r="V183" i="13"/>
  <c r="S195" i="13"/>
  <c r="T195" i="13" s="1"/>
  <c r="W168" i="13"/>
  <c r="T157" i="13"/>
  <c r="W152" i="13"/>
  <c r="W156" i="13"/>
  <c r="V156" i="13"/>
  <c r="T115" i="13"/>
  <c r="S115" i="13"/>
  <c r="V118" i="13"/>
  <c r="W116" i="13"/>
  <c r="W84" i="13"/>
  <c r="W83" i="13"/>
  <c r="S228" i="12"/>
  <c r="W216" i="12"/>
  <c r="V216" i="12"/>
  <c r="V186" i="12"/>
  <c r="S191" i="12"/>
  <c r="T191" i="12" s="1"/>
  <c r="S153" i="12"/>
  <c r="V159" i="12"/>
  <c r="W120" i="12"/>
  <c r="W111" i="12"/>
  <c r="W107" i="12"/>
  <c r="G112" i="12"/>
  <c r="V218" i="11"/>
  <c r="S192" i="11"/>
  <c r="T151" i="11"/>
  <c r="S145" i="11"/>
  <c r="V116" i="11"/>
  <c r="W116" i="11"/>
  <c r="T115" i="11"/>
  <c r="W112" i="11"/>
  <c r="V112" i="11"/>
  <c r="V108" i="11"/>
  <c r="V192" i="11"/>
  <c r="V228" i="10"/>
  <c r="W228" i="10"/>
  <c r="T231" i="10"/>
  <c r="S216" i="10"/>
  <c r="W201" i="10"/>
  <c r="V201" i="10"/>
  <c r="V202" i="10"/>
  <c r="V205" i="10"/>
  <c r="V192" i="10"/>
  <c r="W192" i="10"/>
  <c r="T198" i="10"/>
  <c r="S195" i="10"/>
  <c r="T195" i="10" s="1"/>
  <c r="T152" i="10"/>
  <c r="V144" i="10"/>
  <c r="W144" i="10"/>
  <c r="G140" i="10"/>
  <c r="V139" i="10"/>
  <c r="W139" i="10"/>
  <c r="W129" i="10"/>
  <c r="V120" i="10"/>
  <c r="W106" i="10"/>
  <c r="W94" i="10"/>
  <c r="S100" i="10"/>
  <c r="T100" i="10"/>
  <c r="W217" i="7"/>
  <c r="S201" i="7"/>
  <c r="W197" i="7"/>
  <c r="T163" i="7"/>
  <c r="V166" i="7"/>
  <c r="G151" i="7"/>
  <c r="W151" i="7" s="1"/>
  <c r="W159" i="7"/>
  <c r="V123" i="7"/>
  <c r="V121" i="7"/>
  <c r="W233" i="6"/>
  <c r="G201" i="6"/>
  <c r="W201" i="6" s="1"/>
  <c r="W194" i="6"/>
  <c r="V194" i="6"/>
  <c r="S201" i="6"/>
  <c r="W188" i="6"/>
  <c r="W177" i="6"/>
  <c r="V177" i="6"/>
  <c r="T133" i="6"/>
  <c r="S121" i="6"/>
  <c r="S115" i="6"/>
  <c r="V116" i="6"/>
  <c r="V96" i="6"/>
  <c r="W156" i="5"/>
  <c r="V107" i="5"/>
  <c r="W107" i="5"/>
  <c r="W111" i="5"/>
  <c r="W113" i="5"/>
  <c r="W96" i="5"/>
  <c r="V217" i="2"/>
  <c r="V96" i="2"/>
  <c r="W193" i="13"/>
  <c r="G223" i="7"/>
  <c r="S223" i="7"/>
  <c r="T223" i="7" s="1"/>
  <c r="G226" i="7"/>
  <c r="V226" i="7" s="1"/>
  <c r="W226" i="7" s="1"/>
  <c r="W227" i="6"/>
  <c r="W219" i="2"/>
  <c r="Y81" i="4"/>
  <c r="Z81" i="4" s="1"/>
  <c r="V81" i="4"/>
  <c r="W81" i="4" s="1"/>
  <c r="T216" i="11"/>
  <c r="G216" i="11"/>
  <c r="V216" i="11" s="1"/>
  <c r="G177" i="3"/>
  <c r="G85" i="3"/>
  <c r="W85" i="3" s="1"/>
  <c r="S262" i="3"/>
  <c r="T130" i="3"/>
  <c r="T197" i="3"/>
  <c r="G174" i="3"/>
  <c r="W174" i="3" s="1"/>
  <c r="T85" i="3"/>
  <c r="W125" i="3"/>
  <c r="S91" i="3"/>
  <c r="T91" i="3" s="1"/>
  <c r="G91" i="3"/>
  <c r="T200" i="3"/>
  <c r="G211" i="3"/>
  <c r="S116" i="3"/>
  <c r="S153" i="3"/>
  <c r="T153" i="3" s="1"/>
  <c r="G257" i="3"/>
  <c r="S105" i="3"/>
  <c r="S125" i="3" l="1"/>
  <c r="S165" i="3"/>
  <c r="T176" i="3"/>
  <c r="G262" i="3"/>
  <c r="W262" i="3" s="1"/>
  <c r="T118" i="3"/>
  <c r="G210" i="3"/>
  <c r="W210" i="3" s="1"/>
  <c r="G112" i="3"/>
  <c r="W112" i="3" s="1"/>
  <c r="V125" i="3"/>
  <c r="S251" i="3"/>
  <c r="T251" i="3" s="1"/>
  <c r="T194" i="3"/>
  <c r="G213" i="3"/>
  <c r="V213" i="3" s="1"/>
  <c r="W213" i="3" s="1"/>
  <c r="T113" i="3"/>
  <c r="S258" i="3"/>
  <c r="T258" i="3" s="1"/>
  <c r="F164" i="3"/>
  <c r="S164" i="3" s="1"/>
  <c r="V130" i="4"/>
  <c r="T222" i="3"/>
  <c r="G116" i="3"/>
  <c r="W116" i="3" s="1"/>
  <c r="S137" i="3"/>
  <c r="T137" i="3" s="1"/>
  <c r="G130" i="3"/>
  <c r="V130" i="3" s="1"/>
  <c r="G160" i="3"/>
  <c r="V160" i="3" s="1"/>
  <c r="G147" i="3"/>
  <c r="G209" i="3"/>
  <c r="W209" i="3" s="1"/>
  <c r="V81" i="3"/>
  <c r="S209" i="3"/>
  <c r="T199" i="3"/>
  <c r="T160" i="3"/>
  <c r="S222" i="3"/>
  <c r="T147" i="3"/>
  <c r="F239" i="3"/>
  <c r="T239" i="3" s="1"/>
  <c r="G221" i="3"/>
  <c r="W221" i="3" s="1"/>
  <c r="G118" i="3"/>
  <c r="W118" i="3" s="1"/>
  <c r="F126" i="3"/>
  <c r="S126" i="3" s="1"/>
  <c r="T126" i="3" s="1"/>
  <c r="V210" i="3"/>
  <c r="G92" i="3"/>
  <c r="G155" i="3"/>
  <c r="G135" i="3"/>
  <c r="V135" i="3" s="1"/>
  <c r="W135" i="3" s="1"/>
  <c r="T198" i="3"/>
  <c r="V209" i="3"/>
  <c r="V178" i="3"/>
  <c r="W178" i="3" s="1"/>
  <c r="S155" i="3"/>
  <c r="G85" i="7"/>
  <c r="W85" i="7" s="1"/>
  <c r="S94" i="7"/>
  <c r="T94" i="7" s="1"/>
  <c r="G92" i="7"/>
  <c r="S88" i="7"/>
  <c r="G86" i="7"/>
  <c r="V86" i="7" s="1"/>
  <c r="V141" i="7"/>
  <c r="W141" i="7"/>
  <c r="T145" i="13"/>
  <c r="S145" i="13"/>
  <c r="W131" i="10"/>
  <c r="S157" i="11"/>
  <c r="V159" i="7"/>
  <c r="G157" i="7"/>
  <c r="V157" i="7" s="1"/>
  <c r="T228" i="12"/>
  <c r="S202" i="6"/>
  <c r="T202" i="6"/>
  <c r="V145" i="10"/>
  <c r="W145" i="10"/>
  <c r="W135" i="11"/>
  <c r="V135" i="11"/>
  <c r="T151" i="13"/>
  <c r="S151" i="13"/>
  <c r="W108" i="13"/>
  <c r="V108" i="13"/>
  <c r="S158" i="10"/>
  <c r="W116" i="12"/>
  <c r="V197" i="7"/>
  <c r="G201" i="7"/>
  <c r="V201" i="7" s="1"/>
  <c r="W201" i="7" s="1"/>
  <c r="V88" i="11"/>
  <c r="V170" i="14"/>
  <c r="V106" i="6"/>
  <c r="W106" i="6"/>
  <c r="W172" i="14"/>
  <c r="V172" i="14"/>
  <c r="W186" i="14"/>
  <c r="V186" i="14"/>
  <c r="G196" i="14"/>
  <c r="W196" i="14" s="1"/>
  <c r="G42" i="14"/>
  <c r="G202" i="6"/>
  <c r="W202" i="6" s="1"/>
  <c r="V114" i="13"/>
  <c r="V168" i="13"/>
  <c r="V174" i="14"/>
  <c r="V127" i="14"/>
  <c r="V255" i="14"/>
  <c r="W255" i="14" s="1"/>
  <c r="V175" i="7"/>
  <c r="V197" i="6"/>
  <c r="V164" i="6"/>
  <c r="V195" i="6"/>
  <c r="V196" i="6"/>
  <c r="T109" i="6"/>
  <c r="V137" i="11"/>
  <c r="V244" i="11"/>
  <c r="W244" i="11" s="1"/>
  <c r="Z94" i="4"/>
  <c r="V184" i="11"/>
  <c r="W184" i="11" s="1"/>
  <c r="V142" i="7"/>
  <c r="V133" i="7"/>
  <c r="W133" i="7" s="1"/>
  <c r="V146" i="7"/>
  <c r="V91" i="7"/>
  <c r="W91" i="7" s="1"/>
  <c r="T85" i="2"/>
  <c r="S193" i="5"/>
  <c r="T233" i="6"/>
  <c r="G190" i="7"/>
  <c r="S81" i="7"/>
  <c r="Y117" i="4"/>
  <c r="G114" i="5"/>
  <c r="W114" i="5" s="1"/>
  <c r="V108" i="10"/>
  <c r="J85" i="4"/>
  <c r="Z85" i="4" s="1"/>
  <c r="V85" i="4"/>
  <c r="W117" i="4"/>
  <c r="J121" i="4"/>
  <c r="Z121" i="4" s="1"/>
  <c r="T160" i="2"/>
  <c r="V251" i="3"/>
  <c r="W251" i="3" s="1"/>
  <c r="T219" i="6"/>
  <c r="T136" i="13"/>
  <c r="V146" i="14"/>
  <c r="V163" i="14"/>
  <c r="V150" i="14"/>
  <c r="V173" i="14"/>
  <c r="V205" i="14"/>
  <c r="W205" i="14" s="1"/>
  <c r="V195" i="14"/>
  <c r="G130" i="12"/>
  <c r="V130" i="12" s="1"/>
  <c r="W130" i="12" s="1"/>
  <c r="V180" i="6"/>
  <c r="V179" i="6"/>
  <c r="Z146" i="4"/>
  <c r="G42" i="12"/>
  <c r="V245" i="11"/>
  <c r="V156" i="7"/>
  <c r="V126" i="7"/>
  <c r="W126" i="7" s="1"/>
  <c r="V182" i="12"/>
  <c r="W182" i="12" s="1"/>
  <c r="V91" i="11"/>
  <c r="W91" i="11" s="1"/>
  <c r="S117" i="2"/>
  <c r="S137" i="11"/>
  <c r="T158" i="12"/>
  <c r="S85" i="13"/>
  <c r="S155" i="13"/>
  <c r="S149" i="14"/>
  <c r="T251" i="14"/>
  <c r="V86" i="6"/>
  <c r="V125" i="6"/>
  <c r="G115" i="13"/>
  <c r="W115" i="13" s="1"/>
  <c r="W94" i="14"/>
  <c r="V250" i="14"/>
  <c r="W250" i="14" s="1"/>
  <c r="V161" i="14"/>
  <c r="W99" i="14"/>
  <c r="W207" i="7"/>
  <c r="V127" i="3"/>
  <c r="W127" i="3" s="1"/>
  <c r="V124" i="6"/>
  <c r="V234" i="6"/>
  <c r="Z84" i="4"/>
  <c r="V110" i="13"/>
  <c r="V244" i="2"/>
  <c r="W244" i="2" s="1"/>
  <c r="V195" i="7"/>
  <c r="W195" i="7" s="1"/>
  <c r="V106" i="3"/>
  <c r="F203" i="6"/>
  <c r="F236" i="6"/>
  <c r="S236" i="6" s="1"/>
  <c r="T236" i="6" s="1"/>
  <c r="V202" i="2"/>
  <c r="W202" i="2" s="1"/>
  <c r="V143" i="10"/>
  <c r="Y115" i="4"/>
  <c r="J71" i="4"/>
  <c r="V129" i="3"/>
  <c r="W129" i="3" s="1"/>
  <c r="V93" i="14"/>
  <c r="V192" i="3"/>
  <c r="W192" i="3" s="1"/>
  <c r="F73" i="11"/>
  <c r="T198" i="12"/>
  <c r="F99" i="13"/>
  <c r="S99" i="13" s="1"/>
  <c r="T99" i="13" s="1"/>
  <c r="W167" i="3"/>
  <c r="V167" i="3"/>
  <c r="W222" i="3"/>
  <c r="V222" i="3"/>
  <c r="V92" i="3"/>
  <c r="W92" i="3" s="1"/>
  <c r="T156" i="3"/>
  <c r="T257" i="3"/>
  <c r="F99" i="3"/>
  <c r="S99" i="3" s="1"/>
  <c r="T99" i="3" s="1"/>
  <c r="T167" i="3"/>
  <c r="T92" i="3"/>
  <c r="S119" i="3"/>
  <c r="S178" i="3"/>
  <c r="T178" i="3" s="1"/>
  <c r="F205" i="3"/>
  <c r="S205" i="3" s="1"/>
  <c r="T229" i="3"/>
  <c r="V156" i="3"/>
  <c r="F73" i="3"/>
  <c r="G146" i="3"/>
  <c r="V146" i="3" s="1"/>
  <c r="W146" i="3" s="1"/>
  <c r="G109" i="3"/>
  <c r="V109" i="3" s="1"/>
  <c r="W109" i="3" s="1"/>
  <c r="S229" i="3"/>
  <c r="F132" i="3"/>
  <c r="S132" i="3" s="1"/>
  <c r="T132" i="3" s="1"/>
  <c r="S167" i="3"/>
  <c r="S237" i="3"/>
  <c r="S174" i="3"/>
  <c r="G237" i="3"/>
  <c r="W237" i="3" s="1"/>
  <c r="S239" i="3"/>
  <c r="S192" i="3"/>
  <c r="T192" i="3" s="1"/>
  <c r="G203" i="3"/>
  <c r="V203" i="3" s="1"/>
  <c r="W203" i="3" s="1"/>
  <c r="S129" i="3"/>
  <c r="T129" i="3" s="1"/>
  <c r="T125" i="3"/>
  <c r="G121" i="3"/>
  <c r="S136" i="3"/>
  <c r="T136" i="3" s="1"/>
  <c r="G198" i="3"/>
  <c r="W198" i="3" s="1"/>
  <c r="G128" i="3"/>
  <c r="V128" i="3" s="1"/>
  <c r="W128" i="3" s="1"/>
  <c r="V94" i="3"/>
  <c r="W94" i="3" s="1"/>
  <c r="V258" i="3"/>
  <c r="W258" i="3" s="1"/>
  <c r="F103" i="3"/>
  <c r="S103" i="3" s="1"/>
  <c r="T103" i="3" s="1"/>
  <c r="V124" i="3"/>
  <c r="W124" i="3" s="1"/>
  <c r="V131" i="3"/>
  <c r="W131" i="3" s="1"/>
  <c r="V153" i="3"/>
  <c r="W153" i="3" s="1"/>
  <c r="S124" i="3"/>
  <c r="T124" i="3" s="1"/>
  <c r="F152" i="3"/>
  <c r="S152" i="3" s="1"/>
  <c r="T152" i="3" s="1"/>
  <c r="G84" i="3"/>
  <c r="V84" i="3" s="1"/>
  <c r="T221" i="3"/>
  <c r="F204" i="3"/>
  <c r="T204" i="3" s="1"/>
  <c r="G176" i="3"/>
  <c r="W176" i="3" s="1"/>
  <c r="T135" i="3"/>
  <c r="S163" i="3"/>
  <c r="F203" i="3"/>
  <c r="S203" i="3" s="1"/>
  <c r="T203" i="3" s="1"/>
  <c r="G212" i="3"/>
  <c r="W212" i="3" s="1"/>
  <c r="V147" i="3"/>
  <c r="S181" i="3"/>
  <c r="T181" i="3" s="1"/>
  <c r="T212" i="3"/>
  <c r="S230" i="3"/>
  <c r="T230" i="3" s="1"/>
  <c r="G199" i="3"/>
  <c r="S169" i="3"/>
  <c r="G165" i="3"/>
  <c r="W165" i="3" s="1"/>
  <c r="S112" i="3"/>
  <c r="V137" i="3"/>
  <c r="W137" i="3" s="1"/>
  <c r="V118" i="3"/>
  <c r="S83" i="3"/>
  <c r="F98" i="3"/>
  <c r="G83" i="3"/>
  <c r="W83" i="3" s="1"/>
  <c r="T83" i="3"/>
  <c r="F100" i="3"/>
  <c r="S93" i="3"/>
  <c r="T93" i="3" s="1"/>
  <c r="G93" i="3"/>
  <c r="V93" i="3" s="1"/>
  <c r="W93" i="3" s="1"/>
  <c r="T162" i="3"/>
  <c r="G162" i="3"/>
  <c r="W162" i="3" s="1"/>
  <c r="T166" i="3"/>
  <c r="G166" i="3"/>
  <c r="V166" i="3" s="1"/>
  <c r="T164" i="3"/>
  <c r="T87" i="3"/>
  <c r="F264" i="3"/>
  <c r="S264" i="3" s="1"/>
  <c r="T264" i="3" s="1"/>
  <c r="F158" i="3"/>
  <c r="V177" i="3"/>
  <c r="W177" i="3" s="1"/>
  <c r="S151" i="3"/>
  <c r="T151" i="3" s="1"/>
  <c r="S162" i="3"/>
  <c r="S88" i="3"/>
  <c r="T88" i="3"/>
  <c r="S94" i="3"/>
  <c r="T94" i="3" s="1"/>
  <c r="T195" i="3"/>
  <c r="S195" i="3"/>
  <c r="S200" i="3"/>
  <c r="G200" i="3"/>
  <c r="V200" i="3" s="1"/>
  <c r="S252" i="3"/>
  <c r="T252" i="3" s="1"/>
  <c r="G252" i="3"/>
  <c r="V252" i="3" s="1"/>
  <c r="W252" i="3" s="1"/>
  <c r="G260" i="3"/>
  <c r="V260" i="3" s="1"/>
  <c r="W260" i="3" s="1"/>
  <c r="S107" i="3"/>
  <c r="G107" i="3"/>
  <c r="W107" i="3" s="1"/>
  <c r="T110" i="3"/>
  <c r="F108" i="3"/>
  <c r="S108" i="3" s="1"/>
  <c r="T108" i="3" s="1"/>
  <c r="G134" i="3"/>
  <c r="V134" i="3" s="1"/>
  <c r="W134" i="3" s="1"/>
  <c r="S134" i="3"/>
  <c r="T134" i="3" s="1"/>
  <c r="S161" i="3"/>
  <c r="G161" i="3"/>
  <c r="V161" i="3" s="1"/>
  <c r="T161" i="3"/>
  <c r="G87" i="3"/>
  <c r="W87" i="3" s="1"/>
  <c r="S104" i="3"/>
  <c r="T104" i="3" s="1"/>
  <c r="F215" i="3"/>
  <c r="S215" i="3" s="1"/>
  <c r="S84" i="3"/>
  <c r="S210" i="3"/>
  <c r="T235" i="3"/>
  <c r="G110" i="3"/>
  <c r="G154" i="3"/>
  <c r="W147" i="3"/>
  <c r="V85" i="3"/>
  <c r="G88" i="3"/>
  <c r="G235" i="3"/>
  <c r="G117" i="3"/>
  <c r="T117" i="3"/>
  <c r="S154" i="3"/>
  <c r="T175" i="3"/>
  <c r="V195" i="3"/>
  <c r="S191" i="3"/>
  <c r="F206" i="3"/>
  <c r="T191" i="3"/>
  <c r="S197" i="3"/>
  <c r="G197" i="3"/>
  <c r="W197" i="3" s="1"/>
  <c r="T201" i="3"/>
  <c r="G201" i="3"/>
  <c r="T228" i="3"/>
  <c r="S228" i="3"/>
  <c r="T236" i="3"/>
  <c r="S236" i="3"/>
  <c r="G236" i="3"/>
  <c r="W236" i="3" s="1"/>
  <c r="S256" i="3"/>
  <c r="T256" i="3" s="1"/>
  <c r="G256" i="3"/>
  <c r="T115" i="3"/>
  <c r="G115" i="3"/>
  <c r="W115" i="3" s="1"/>
  <c r="G123" i="3"/>
  <c r="V123" i="3" s="1"/>
  <c r="S123" i="3"/>
  <c r="T123" i="3" s="1"/>
  <c r="T157" i="3"/>
  <c r="S157" i="3"/>
  <c r="G157" i="3"/>
  <c r="W157" i="3" s="1"/>
  <c r="T159" i="3"/>
  <c r="G159" i="3"/>
  <c r="T105" i="3"/>
  <c r="G104" i="3"/>
  <c r="W104" i="3" s="1"/>
  <c r="T211" i="3"/>
  <c r="S201" i="3"/>
  <c r="F114" i="3"/>
  <c r="S131" i="3"/>
  <c r="T131" i="3" s="1"/>
  <c r="G113" i="3"/>
  <c r="S159" i="3"/>
  <c r="G175" i="3"/>
  <c r="W175" i="3" s="1"/>
  <c r="V169" i="3"/>
  <c r="G71" i="3"/>
  <c r="G228" i="3"/>
  <c r="W228" i="3" s="1"/>
  <c r="S260" i="3"/>
  <c r="T260" i="3" s="1"/>
  <c r="S115" i="3"/>
  <c r="S96" i="3"/>
  <c r="T96" i="3"/>
  <c r="G96" i="3"/>
  <c r="W96" i="3" s="1"/>
  <c r="V229" i="3"/>
  <c r="F143" i="3"/>
  <c r="S143" i="3" s="1"/>
  <c r="S156" i="3"/>
  <c r="G163" i="3"/>
  <c r="V163" i="3" s="1"/>
  <c r="G119" i="3"/>
  <c r="V119" i="3" s="1"/>
  <c r="T121" i="3"/>
  <c r="F120" i="3"/>
  <c r="S120" i="3" s="1"/>
  <c r="G168" i="3"/>
  <c r="W168" i="3" s="1"/>
  <c r="J131" i="4"/>
  <c r="Z131" i="4" s="1"/>
  <c r="G95" i="3"/>
  <c r="W95" i="3" s="1"/>
  <c r="W131" i="4"/>
  <c r="V153" i="7"/>
  <c r="V218" i="7"/>
  <c r="V127" i="7"/>
  <c r="W127" i="7" s="1"/>
  <c r="V151" i="7"/>
  <c r="V193" i="7"/>
  <c r="T110" i="7"/>
  <c r="V110" i="7"/>
  <c r="V115" i="7"/>
  <c r="G179" i="14"/>
  <c r="V220" i="14"/>
  <c r="V155" i="11"/>
  <c r="W157" i="7"/>
  <c r="V136" i="2"/>
  <c r="V122" i="6"/>
  <c r="V162" i="7"/>
  <c r="V107" i="13"/>
  <c r="G128" i="10"/>
  <c r="V162" i="10"/>
  <c r="G231" i="10"/>
  <c r="T159" i="12"/>
  <c r="V91" i="14"/>
  <c r="W91" i="14" s="1"/>
  <c r="V88" i="14"/>
  <c r="T127" i="13"/>
  <c r="V128" i="13"/>
  <c r="V86" i="14"/>
  <c r="V204" i="14"/>
  <c r="V126" i="14"/>
  <c r="W126" i="14" s="1"/>
  <c r="V162" i="14"/>
  <c r="V193" i="14"/>
  <c r="G112" i="7"/>
  <c r="V83" i="6"/>
  <c r="W83" i="6" s="1"/>
  <c r="V258" i="6"/>
  <c r="W258" i="6" s="1"/>
  <c r="V120" i="6"/>
  <c r="V250" i="6"/>
  <c r="W250" i="6" s="1"/>
  <c r="V233" i="6"/>
  <c r="V142" i="6"/>
  <c r="W142" i="6" s="1"/>
  <c r="V104" i="6"/>
  <c r="W104" i="6" s="1"/>
  <c r="V198" i="6"/>
  <c r="V162" i="6"/>
  <c r="V192" i="6"/>
  <c r="V207" i="6"/>
  <c r="W207" i="6" s="1"/>
  <c r="W110" i="13"/>
  <c r="V81" i="11"/>
  <c r="V119" i="11"/>
  <c r="V211" i="11"/>
  <c r="W211" i="11" s="1"/>
  <c r="G57" i="11"/>
  <c r="V118" i="2"/>
  <c r="V132" i="7"/>
  <c r="W132" i="7" s="1"/>
  <c r="V113" i="7"/>
  <c r="V167" i="5"/>
  <c r="V187" i="5"/>
  <c r="W187" i="5" s="1"/>
  <c r="V116" i="3"/>
  <c r="W84" i="3"/>
  <c r="W229" i="3"/>
  <c r="W191" i="3"/>
  <c r="W113" i="6"/>
  <c r="G121" i="6"/>
  <c r="V121" i="6" s="1"/>
  <c r="W189" i="6"/>
  <c r="G118" i="7"/>
  <c r="G202" i="7"/>
  <c r="V202" i="7" s="1"/>
  <c r="W202" i="7" s="1"/>
  <c r="W114" i="10"/>
  <c r="W142" i="10"/>
  <c r="W193" i="10"/>
  <c r="W211" i="10"/>
  <c r="V176" i="12"/>
  <c r="W229" i="10"/>
  <c r="V216" i="6"/>
  <c r="G220" i="7"/>
  <c r="V220" i="7" s="1"/>
  <c r="V150" i="11"/>
  <c r="V85" i="14"/>
  <c r="V212" i="14"/>
  <c r="V228" i="14"/>
  <c r="V155" i="13"/>
  <c r="V251" i="13"/>
  <c r="W251" i="13" s="1"/>
  <c r="V152" i="13"/>
  <c r="V159" i="14"/>
  <c r="V140" i="14"/>
  <c r="W140" i="14" s="1"/>
  <c r="V125" i="14"/>
  <c r="V114" i="14"/>
  <c r="V222" i="14"/>
  <c r="W222" i="14" s="1"/>
  <c r="V214" i="14"/>
  <c r="W176" i="7"/>
  <c r="W203" i="12"/>
  <c r="V134" i="12"/>
  <c r="W134" i="12" s="1"/>
  <c r="V259" i="6"/>
  <c r="V268" i="6"/>
  <c r="V128" i="6"/>
  <c r="V114" i="6"/>
  <c r="V123" i="6"/>
  <c r="V132" i="6"/>
  <c r="Y119" i="4"/>
  <c r="Z155" i="4"/>
  <c r="V149" i="11"/>
  <c r="V114" i="2"/>
  <c r="V122" i="2"/>
  <c r="V149" i="2"/>
  <c r="W133" i="10"/>
  <c r="W160" i="12"/>
  <c r="V160" i="12"/>
  <c r="V180" i="11"/>
  <c r="V140" i="10"/>
  <c r="W140" i="10" s="1"/>
  <c r="W86" i="6"/>
  <c r="S193" i="13"/>
  <c r="V123" i="14"/>
  <c r="W200" i="3"/>
  <c r="T211" i="7"/>
  <c r="V131" i="14"/>
  <c r="W175" i="7"/>
  <c r="V224" i="12"/>
  <c r="W248" i="7"/>
  <c r="V107" i="2"/>
  <c r="V144" i="6"/>
  <c r="V134" i="6"/>
  <c r="Z161" i="4"/>
  <c r="G57" i="12"/>
  <c r="V88" i="5"/>
  <c r="V128" i="2"/>
  <c r="W128" i="2" s="1"/>
  <c r="V93" i="7"/>
  <c r="W93" i="7" s="1"/>
  <c r="T200" i="6"/>
  <c r="V220" i="10"/>
  <c r="V138" i="10"/>
  <c r="V132" i="10"/>
  <c r="T128" i="3"/>
  <c r="S133" i="3"/>
  <c r="T133" i="3" s="1"/>
  <c r="T145" i="3"/>
  <c r="Y85" i="4"/>
  <c r="V112" i="10"/>
  <c r="W112" i="10" s="1"/>
  <c r="S124" i="10"/>
  <c r="T148" i="10"/>
  <c r="F100" i="11"/>
  <c r="S100" i="11" s="1"/>
  <c r="T100" i="11" s="1"/>
  <c r="S114" i="11"/>
  <c r="V92" i="11"/>
  <c r="G249" i="10"/>
  <c r="V249" i="10" s="1"/>
  <c r="W249" i="10" s="1"/>
  <c r="V227" i="13"/>
  <c r="V245" i="2"/>
  <c r="W245" i="2" s="1"/>
  <c r="G159" i="5"/>
  <c r="F157" i="7"/>
  <c r="F73" i="13"/>
  <c r="S167" i="13"/>
  <c r="G253" i="13"/>
  <c r="F73" i="14"/>
  <c r="G110" i="14"/>
  <c r="T174" i="14"/>
  <c r="T221" i="14"/>
  <c r="F129" i="7"/>
  <c r="S144" i="3"/>
  <c r="T144" i="3" s="1"/>
  <c r="V111" i="11"/>
  <c r="V158" i="13"/>
  <c r="V132" i="12"/>
  <c r="W132" i="12" s="1"/>
  <c r="V114" i="12"/>
  <c r="V188" i="12"/>
  <c r="W188" i="12" s="1"/>
  <c r="V91" i="10"/>
  <c r="W91" i="10" s="1"/>
  <c r="V115" i="10"/>
  <c r="Y160" i="4"/>
  <c r="S201" i="5"/>
  <c r="T93" i="6"/>
  <c r="G117" i="5"/>
  <c r="W117" i="5" s="1"/>
  <c r="F99" i="10"/>
  <c r="S159" i="10"/>
  <c r="T169" i="10"/>
  <c r="S227" i="10"/>
  <c r="S129" i="11"/>
  <c r="T123" i="12"/>
  <c r="S91" i="13"/>
  <c r="T95" i="13"/>
  <c r="F103" i="13"/>
  <c r="T103" i="13" s="1"/>
  <c r="S117" i="13"/>
  <c r="S119" i="13"/>
  <c r="G208" i="13"/>
  <c r="W208" i="13" s="1"/>
  <c r="U232" i="13"/>
  <c r="T253" i="14"/>
  <c r="V96" i="10"/>
  <c r="G28" i="3"/>
  <c r="F232" i="3"/>
  <c r="S232" i="3" s="1"/>
  <c r="T232" i="3" s="1"/>
  <c r="Y143" i="4"/>
  <c r="S120" i="13"/>
  <c r="G87" i="14"/>
  <c r="W87" i="14" s="1"/>
  <c r="G156" i="14"/>
  <c r="W156" i="14" s="1"/>
  <c r="F247" i="14"/>
  <c r="G247" i="14" s="1"/>
  <c r="F204" i="2"/>
  <c r="S204" i="2" s="1"/>
  <c r="S104" i="2"/>
  <c r="T104" i="2" s="1"/>
  <c r="T173" i="2"/>
  <c r="F192" i="2"/>
  <c r="T250" i="2"/>
  <c r="S169" i="2"/>
  <c r="G246" i="2"/>
  <c r="T120" i="2"/>
  <c r="V104" i="2"/>
  <c r="W104" i="2" s="1"/>
  <c r="V125" i="2"/>
  <c r="T218" i="2"/>
  <c r="G186" i="2"/>
  <c r="W186" i="2" s="1"/>
  <c r="T226" i="2"/>
  <c r="F73" i="2"/>
  <c r="F103" i="2"/>
  <c r="J127" i="4"/>
  <c r="Y127" i="4" s="1"/>
  <c r="W107" i="2"/>
  <c r="T187" i="2"/>
  <c r="F213" i="2"/>
  <c r="S213" i="2" s="1"/>
  <c r="T96" i="2"/>
  <c r="F109" i="2"/>
  <c r="S109" i="2" s="1"/>
  <c r="S125" i="2"/>
  <c r="T135" i="2"/>
  <c r="F176" i="2"/>
  <c r="S176" i="2" s="1"/>
  <c r="T176" i="2" s="1"/>
  <c r="S200" i="2"/>
  <c r="G218" i="2"/>
  <c r="W218" i="2" s="1"/>
  <c r="T181" i="2"/>
  <c r="S250" i="2"/>
  <c r="G169" i="2"/>
  <c r="W169" i="2" s="1"/>
  <c r="V183" i="2"/>
  <c r="V135" i="2"/>
  <c r="T125" i="2"/>
  <c r="S170" i="2"/>
  <c r="G147" i="2"/>
  <c r="V181" i="2"/>
  <c r="G86" i="2"/>
  <c r="W86" i="2" s="1"/>
  <c r="F121" i="2"/>
  <c r="T121" i="2" s="1"/>
  <c r="F145" i="2"/>
  <c r="T145" i="2" s="1"/>
  <c r="F100" i="2"/>
  <c r="S100" i="2" s="1"/>
  <c r="T100" i="2" s="1"/>
  <c r="T107" i="2"/>
  <c r="T209" i="2"/>
  <c r="G226" i="2"/>
  <c r="W226" i="2" s="1"/>
  <c r="S144" i="2"/>
  <c r="T144" i="2" s="1"/>
  <c r="T186" i="2"/>
  <c r="V167" i="2"/>
  <c r="G156" i="2"/>
  <c r="W156" i="2" s="1"/>
  <c r="S208" i="2"/>
  <c r="S156" i="2"/>
  <c r="S103" i="2"/>
  <c r="T103" i="2"/>
  <c r="S193" i="2"/>
  <c r="T193" i="2"/>
  <c r="V201" i="2"/>
  <c r="G28" i="2"/>
  <c r="G158" i="2"/>
  <c r="T94" i="2"/>
  <c r="V119" i="2"/>
  <c r="V186" i="2"/>
  <c r="S161" i="2"/>
  <c r="S137" i="2"/>
  <c r="F115" i="2"/>
  <c r="S115" i="2" s="1"/>
  <c r="T115" i="2" s="1"/>
  <c r="G108" i="2"/>
  <c r="G103" i="2" s="1"/>
  <c r="V103" i="2" s="1"/>
  <c r="W103" i="2" s="1"/>
  <c r="S108" i="2"/>
  <c r="G134" i="2"/>
  <c r="V137" i="2"/>
  <c r="V111" i="2"/>
  <c r="G189" i="2"/>
  <c r="V189" i="2" s="1"/>
  <c r="G123" i="2"/>
  <c r="W123" i="2" s="1"/>
  <c r="V219" i="2"/>
  <c r="S225" i="2"/>
  <c r="V210" i="2"/>
  <c r="T123" i="2"/>
  <c r="F99" i="2"/>
  <c r="S99" i="2" s="1"/>
  <c r="F133" i="2"/>
  <c r="T201" i="2"/>
  <c r="S121" i="2"/>
  <c r="V209" i="2"/>
  <c r="G112" i="2"/>
  <c r="V112" i="2" s="1"/>
  <c r="T184" i="2"/>
  <c r="F195" i="2"/>
  <c r="S195" i="2" s="1"/>
  <c r="T195" i="2" s="1"/>
  <c r="F194" i="2"/>
  <c r="S194" i="2" s="1"/>
  <c r="T194" i="2" s="1"/>
  <c r="W143" i="2"/>
  <c r="G154" i="2"/>
  <c r="T161" i="2"/>
  <c r="F228" i="2"/>
  <c r="S148" i="2"/>
  <c r="G225" i="2"/>
  <c r="W225" i="2" s="1"/>
  <c r="S219" i="2"/>
  <c r="V129" i="2"/>
  <c r="W129" i="2" s="1"/>
  <c r="G146" i="2"/>
  <c r="S146" i="2"/>
  <c r="T136" i="2"/>
  <c r="S160" i="2"/>
  <c r="W128" i="4"/>
  <c r="V128" i="4"/>
  <c r="V94" i="2"/>
  <c r="V208" i="2"/>
  <c r="V87" i="2"/>
  <c r="T119" i="2"/>
  <c r="T130" i="2"/>
  <c r="G148" i="2"/>
  <c r="W148" i="2" s="1"/>
  <c r="F221" i="2"/>
  <c r="S221" i="2" s="1"/>
  <c r="T221" i="2" s="1"/>
  <c r="V161" i="2"/>
  <c r="F139" i="2"/>
  <c r="S139" i="2" s="1"/>
  <c r="G141" i="2"/>
  <c r="V141" i="2" s="1"/>
  <c r="W141" i="2" s="1"/>
  <c r="T150" i="2"/>
  <c r="T141" i="2"/>
  <c r="F127" i="2"/>
  <c r="S127" i="2" s="1"/>
  <c r="S158" i="2"/>
  <c r="T219" i="2"/>
  <c r="V85" i="2"/>
  <c r="G180" i="2"/>
  <c r="V150" i="2"/>
  <c r="V174" i="2"/>
  <c r="W174" i="2" s="1"/>
  <c r="G130" i="2"/>
  <c r="T112" i="2"/>
  <c r="S92" i="11"/>
  <c r="S240" i="11"/>
  <c r="T240" i="11" s="1"/>
  <c r="V198" i="11"/>
  <c r="W198" i="11" s="1"/>
  <c r="S198" i="11"/>
  <c r="T198" i="11" s="1"/>
  <c r="F176" i="11"/>
  <c r="S176" i="11" s="1"/>
  <c r="T176" i="11" s="1"/>
  <c r="G173" i="11"/>
  <c r="T217" i="11"/>
  <c r="F221" i="11"/>
  <c r="G217" i="11"/>
  <c r="W217" i="11" s="1"/>
  <c r="Z86" i="4"/>
  <c r="W128" i="10"/>
  <c r="V128" i="10"/>
  <c r="V156" i="14"/>
  <c r="G181" i="7"/>
  <c r="V181" i="7" s="1"/>
  <c r="W181" i="7" s="1"/>
  <c r="S181" i="7"/>
  <c r="T181" i="7" s="1"/>
  <c r="S92" i="14"/>
  <c r="T92" i="14" s="1"/>
  <c r="G92" i="14"/>
  <c r="V92" i="14" s="1"/>
  <c r="W92" i="14" s="1"/>
  <c r="W105" i="3"/>
  <c r="V115" i="11"/>
  <c r="G204" i="2"/>
  <c r="W146" i="10"/>
  <c r="W113" i="11"/>
  <c r="G109" i="11"/>
  <c r="W161" i="11"/>
  <c r="V161" i="11"/>
  <c r="S171" i="12"/>
  <c r="T171" i="12"/>
  <c r="W146" i="13"/>
  <c r="V146" i="13"/>
  <c r="V116" i="14"/>
  <c r="W116" i="14"/>
  <c r="T98" i="10"/>
  <c r="S98" i="10"/>
  <c r="W221" i="14"/>
  <c r="V221" i="14"/>
  <c r="Y116" i="4"/>
  <c r="Z116" i="4"/>
  <c r="W170" i="11"/>
  <c r="V170" i="11"/>
  <c r="W124" i="11"/>
  <c r="V124" i="11"/>
  <c r="V131" i="11"/>
  <c r="V116" i="2"/>
  <c r="W116" i="2" s="1"/>
  <c r="G115" i="2"/>
  <c r="V115" i="2" s="1"/>
  <c r="W115" i="2" s="1"/>
  <c r="Y120" i="4"/>
  <c r="Z120" i="4"/>
  <c r="W92" i="4"/>
  <c r="J92" i="4"/>
  <c r="V92" i="4"/>
  <c r="V96" i="4"/>
  <c r="W96" i="4"/>
  <c r="J136" i="4"/>
  <c r="V136" i="4"/>
  <c r="W136" i="4"/>
  <c r="W163" i="4"/>
  <c r="J163" i="4"/>
  <c r="V163" i="4"/>
  <c r="J191" i="4"/>
  <c r="Z191" i="4" s="1"/>
  <c r="W191" i="4"/>
  <c r="V191" i="4"/>
  <c r="G85" i="5"/>
  <c r="V85" i="5" s="1"/>
  <c r="S85" i="5"/>
  <c r="T196" i="5"/>
  <c r="F206" i="5"/>
  <c r="G211" i="5"/>
  <c r="V211" i="5" s="1"/>
  <c r="W211" i="5" s="1"/>
  <c r="F219" i="5"/>
  <c r="S215" i="5"/>
  <c r="T215" i="5" s="1"/>
  <c r="G215" i="5"/>
  <c r="V215" i="5" s="1"/>
  <c r="G232" i="5"/>
  <c r="S232" i="5"/>
  <c r="S271" i="5"/>
  <c r="G271" i="5"/>
  <c r="W271" i="5" s="1"/>
  <c r="T271" i="5"/>
  <c r="T84" i="6"/>
  <c r="G84" i="6"/>
  <c r="W84" i="6" s="1"/>
  <c r="F98" i="6"/>
  <c r="S98" i="6" s="1"/>
  <c r="F100" i="6"/>
  <c r="S100" i="6" s="1"/>
  <c r="S84" i="6"/>
  <c r="T95" i="6"/>
  <c r="S95" i="6"/>
  <c r="S181" i="6"/>
  <c r="T181" i="6" s="1"/>
  <c r="G181" i="6"/>
  <c r="F184" i="6"/>
  <c r="S95" i="12"/>
  <c r="T95" i="12" s="1"/>
  <c r="G95" i="12"/>
  <c r="G152" i="12"/>
  <c r="S152" i="12"/>
  <c r="T152" i="12" s="1"/>
  <c r="F147" i="12"/>
  <c r="S147" i="12" s="1"/>
  <c r="T147" i="12" s="1"/>
  <c r="G214" i="12"/>
  <c r="S214" i="12"/>
  <c r="T214" i="12" s="1"/>
  <c r="F219" i="12"/>
  <c r="S151" i="14"/>
  <c r="T151" i="14"/>
  <c r="G151" i="14"/>
  <c r="V151" i="14" s="1"/>
  <c r="T156" i="14"/>
  <c r="S156" i="14"/>
  <c r="T211" i="14"/>
  <c r="S211" i="14"/>
  <c r="G211" i="14"/>
  <c r="W211" i="14" s="1"/>
  <c r="F216" i="14"/>
  <c r="S219" i="14"/>
  <c r="T219" i="14"/>
  <c r="G219" i="14"/>
  <c r="V219" i="14" s="1"/>
  <c r="F224" i="14"/>
  <c r="G98" i="7"/>
  <c r="G102" i="7" s="1"/>
  <c r="V102" i="7" s="1"/>
  <c r="W102" i="7" s="1"/>
  <c r="F102" i="7"/>
  <c r="S102" i="7" s="1"/>
  <c r="T102" i="7" s="1"/>
  <c r="F103" i="7"/>
  <c r="S103" i="7" s="1"/>
  <c r="T103" i="7" s="1"/>
  <c r="S241" i="13"/>
  <c r="T241" i="13" s="1"/>
  <c r="G241" i="13"/>
  <c r="V241" i="13" s="1"/>
  <c r="W241" i="13" s="1"/>
  <c r="W127" i="4"/>
  <c r="S219" i="3"/>
  <c r="T120" i="3"/>
  <c r="F224" i="3"/>
  <c r="V112" i="3"/>
  <c r="T205" i="3"/>
  <c r="V168" i="2"/>
  <c r="V188" i="2"/>
  <c r="V103" i="11"/>
  <c r="W103" i="11" s="1"/>
  <c r="T204" i="2"/>
  <c r="W84" i="5"/>
  <c r="V84" i="5"/>
  <c r="W124" i="13"/>
  <c r="V124" i="13"/>
  <c r="G219" i="3"/>
  <c r="W146" i="11"/>
  <c r="W136" i="11"/>
  <c r="G133" i="11"/>
  <c r="G57" i="3"/>
  <c r="W126" i="2"/>
  <c r="V126" i="2"/>
  <c r="W195" i="10"/>
  <c r="W131" i="11"/>
  <c r="W228" i="11"/>
  <c r="V228" i="11"/>
  <c r="V91" i="3"/>
  <c r="W91" i="3" s="1"/>
  <c r="V169" i="2"/>
  <c r="W166" i="6"/>
  <c r="G165" i="6"/>
  <c r="W165" i="6" s="1"/>
  <c r="W118" i="4"/>
  <c r="V118" i="4"/>
  <c r="J118" i="4"/>
  <c r="V181" i="4"/>
  <c r="W181" i="4"/>
  <c r="T178" i="7"/>
  <c r="S178" i="7"/>
  <c r="F183" i="7"/>
  <c r="S183" i="7" s="1"/>
  <c r="V179" i="3"/>
  <c r="W179" i="3" s="1"/>
  <c r="V133" i="3"/>
  <c r="W133" i="3" s="1"/>
  <c r="T229" i="6"/>
  <c r="W84" i="2"/>
  <c r="T244" i="12"/>
  <c r="V218" i="2"/>
  <c r="G178" i="7"/>
  <c r="G236" i="7"/>
  <c r="W233" i="7"/>
  <c r="W145" i="3"/>
  <c r="F187" i="3"/>
  <c r="V223" i="7"/>
  <c r="W223" i="7" s="1"/>
  <c r="V153" i="2"/>
  <c r="T213" i="2"/>
  <c r="W121" i="10"/>
  <c r="W169" i="11"/>
  <c r="W134" i="14"/>
  <c r="V134" i="14"/>
  <c r="F148" i="14"/>
  <c r="V81" i="14"/>
  <c r="V156" i="12"/>
  <c r="W156" i="12"/>
  <c r="G42" i="3"/>
  <c r="Y135" i="4"/>
  <c r="Z135" i="4"/>
  <c r="V190" i="10"/>
  <c r="W190" i="10"/>
  <c r="V113" i="5"/>
  <c r="V210" i="13"/>
  <c r="W93" i="14"/>
  <c r="W107" i="14"/>
  <c r="V107" i="14"/>
  <c r="V191" i="3"/>
  <c r="V130" i="6"/>
  <c r="W130" i="6" s="1"/>
  <c r="V181" i="6"/>
  <c r="G236" i="6"/>
  <c r="V236" i="6" s="1"/>
  <c r="W236" i="6" s="1"/>
  <c r="V248" i="6"/>
  <c r="W248" i="6" s="1"/>
  <c r="V106" i="13"/>
  <c r="W106" i="13"/>
  <c r="W138" i="13"/>
  <c r="V138" i="13"/>
  <c r="V154" i="7"/>
  <c r="V123" i="2"/>
  <c r="S84" i="2"/>
  <c r="T84" i="2"/>
  <c r="T183" i="2"/>
  <c r="S183" i="2"/>
  <c r="S216" i="2"/>
  <c r="T216" i="2" s="1"/>
  <c r="G216" i="2"/>
  <c r="S217" i="2"/>
  <c r="T217" i="2"/>
  <c r="F252" i="2"/>
  <c r="S252" i="2" s="1"/>
  <c r="T252" i="2" s="1"/>
  <c r="S86" i="3"/>
  <c r="T86" i="3"/>
  <c r="S180" i="3"/>
  <c r="T180" i="3" s="1"/>
  <c r="G180" i="3"/>
  <c r="S92" i="12"/>
  <c r="G92" i="12"/>
  <c r="V92" i="12" s="1"/>
  <c r="W92" i="12" s="1"/>
  <c r="T92" i="12"/>
  <c r="F102" i="12"/>
  <c r="S150" i="12"/>
  <c r="G150" i="12"/>
  <c r="T150" i="12"/>
  <c r="T107" i="14"/>
  <c r="S107" i="14"/>
  <c r="T117" i="14"/>
  <c r="S117" i="14"/>
  <c r="G117" i="14"/>
  <c r="V117" i="14" s="1"/>
  <c r="T123" i="14"/>
  <c r="S123" i="14"/>
  <c r="T132" i="14"/>
  <c r="S132" i="14"/>
  <c r="S137" i="14"/>
  <c r="F136" i="14"/>
  <c r="S136" i="14" s="1"/>
  <c r="T136" i="14" s="1"/>
  <c r="G137" i="14"/>
  <c r="V137" i="14" s="1"/>
  <c r="W137" i="14" s="1"/>
  <c r="S145" i="14"/>
  <c r="T145" i="14" s="1"/>
  <c r="T146" i="10"/>
  <c r="W86" i="11"/>
  <c r="V86" i="11"/>
  <c r="V125" i="11"/>
  <c r="W125" i="11"/>
  <c r="G157" i="13"/>
  <c r="V183" i="14"/>
  <c r="V152" i="14"/>
  <c r="V259" i="12"/>
  <c r="W259" i="12" s="1"/>
  <c r="V160" i="6"/>
  <c r="Z144" i="4"/>
  <c r="Y144" i="4"/>
  <c r="G42" i="11"/>
  <c r="V173" i="2"/>
  <c r="W173" i="2" s="1"/>
  <c r="V262" i="7"/>
  <c r="W262" i="7" s="1"/>
  <c r="V122" i="7"/>
  <c r="V112" i="7"/>
  <c r="W112" i="7" s="1"/>
  <c r="V190" i="7"/>
  <c r="G200" i="7"/>
  <c r="W217" i="13"/>
  <c r="V217" i="13"/>
  <c r="V204" i="12"/>
  <c r="W204" i="12" s="1"/>
  <c r="W124" i="10"/>
  <c r="G122" i="10"/>
  <c r="V122" i="10" s="1"/>
  <c r="W122" i="10" s="1"/>
  <c r="G83" i="2"/>
  <c r="S83" i="2"/>
  <c r="F98" i="2"/>
  <c r="S189" i="10"/>
  <c r="T189" i="10" s="1"/>
  <c r="G189" i="10"/>
  <c r="G198" i="10" s="1"/>
  <c r="V198" i="10" s="1"/>
  <c r="T204" i="10"/>
  <c r="G204" i="10"/>
  <c r="S204" i="10"/>
  <c r="G132" i="11"/>
  <c r="G127" i="11" s="1"/>
  <c r="V127" i="11" s="1"/>
  <c r="S132" i="11"/>
  <c r="T132" i="11"/>
  <c r="S153" i="11"/>
  <c r="T153" i="11"/>
  <c r="G153" i="11"/>
  <c r="T156" i="11"/>
  <c r="G156" i="11"/>
  <c r="S160" i="11"/>
  <c r="G160" i="11"/>
  <c r="T160" i="11"/>
  <c r="G202" i="11"/>
  <c r="V202" i="11" s="1"/>
  <c r="W202" i="11" s="1"/>
  <c r="T202" i="11"/>
  <c r="G242" i="11"/>
  <c r="V242" i="11" s="1"/>
  <c r="W242" i="11" s="1"/>
  <c r="S242" i="11"/>
  <c r="G126" i="12"/>
  <c r="S126" i="12"/>
  <c r="T126" i="12"/>
  <c r="G129" i="12"/>
  <c r="S129" i="12"/>
  <c r="T129" i="12"/>
  <c r="G241" i="12"/>
  <c r="S241" i="12"/>
  <c r="T241" i="12"/>
  <c r="F176" i="13"/>
  <c r="S172" i="13"/>
  <c r="T172" i="13" s="1"/>
  <c r="T186" i="13"/>
  <c r="S186" i="13"/>
  <c r="F194" i="13"/>
  <c r="S194" i="13" s="1"/>
  <c r="T194" i="13" s="1"/>
  <c r="T86" i="14"/>
  <c r="W199" i="5"/>
  <c r="V88" i="6"/>
  <c r="G116" i="10"/>
  <c r="W149" i="14"/>
  <c r="F112" i="14"/>
  <c r="G145" i="14"/>
  <c r="V145" i="14" s="1"/>
  <c r="W145" i="14" s="1"/>
  <c r="G267" i="12"/>
  <c r="V267" i="12" s="1"/>
  <c r="W267" i="12" s="1"/>
  <c r="V179" i="7"/>
  <c r="W179" i="7" s="1"/>
  <c r="W199" i="12"/>
  <c r="V220" i="3"/>
  <c r="V174" i="3"/>
  <c r="G194" i="3"/>
  <c r="G86" i="3"/>
  <c r="W155" i="6"/>
  <c r="G153" i="6"/>
  <c r="V166" i="6"/>
  <c r="V249" i="6"/>
  <c r="W249" i="6" s="1"/>
  <c r="W190" i="7"/>
  <c r="V149" i="12"/>
  <c r="W149" i="12" s="1"/>
  <c r="G28" i="11"/>
  <c r="V118" i="11"/>
  <c r="V201" i="11"/>
  <c r="V96" i="11"/>
  <c r="W96" i="11" s="1"/>
  <c r="W147" i="11"/>
  <c r="V147" i="11"/>
  <c r="V104" i="11"/>
  <c r="W104" i="11" s="1"/>
  <c r="V138" i="11"/>
  <c r="V224" i="11"/>
  <c r="W106" i="2"/>
  <c r="V106" i="2"/>
  <c r="W189" i="2"/>
  <c r="G71" i="2"/>
  <c r="G42" i="2"/>
  <c r="V155" i="7"/>
  <c r="G42" i="7"/>
  <c r="V152" i="7"/>
  <c r="S111" i="3"/>
  <c r="T111" i="3"/>
  <c r="G111" i="3"/>
  <c r="T131" i="2"/>
  <c r="S131" i="2"/>
  <c r="G152" i="2"/>
  <c r="V152" i="2" s="1"/>
  <c r="F151" i="2"/>
  <c r="S155" i="2"/>
  <c r="T155" i="2"/>
  <c r="G155" i="2"/>
  <c r="W155" i="2" s="1"/>
  <c r="T159" i="2"/>
  <c r="F157" i="2"/>
  <c r="G159" i="2"/>
  <c r="S107" i="6"/>
  <c r="G107" i="6"/>
  <c r="W107" i="6" s="1"/>
  <c r="S144" i="7"/>
  <c r="T144" i="7"/>
  <c r="G144" i="7"/>
  <c r="V144" i="7" s="1"/>
  <c r="T148" i="7"/>
  <c r="S148" i="7"/>
  <c r="F145" i="7"/>
  <c r="G148" i="7"/>
  <c r="T88" i="10"/>
  <c r="G88" i="10"/>
  <c r="T105" i="10"/>
  <c r="F103" i="10"/>
  <c r="G105" i="10"/>
  <c r="S113" i="10"/>
  <c r="T113" i="10"/>
  <c r="G113" i="10"/>
  <c r="W113" i="10" s="1"/>
  <c r="T108" i="12"/>
  <c r="G108" i="12"/>
  <c r="F106" i="12"/>
  <c r="G166" i="12"/>
  <c r="S166" i="12"/>
  <c r="T166" i="12"/>
  <c r="T170" i="12"/>
  <c r="G170" i="12"/>
  <c r="T174" i="12"/>
  <c r="S174" i="12"/>
  <c r="G174" i="12"/>
  <c r="W174" i="12" s="1"/>
  <c r="S181" i="12"/>
  <c r="T181" i="12" s="1"/>
  <c r="G181" i="12"/>
  <c r="S185" i="12"/>
  <c r="T185" i="12"/>
  <c r="G185" i="12"/>
  <c r="G217" i="12"/>
  <c r="V217" i="12" s="1"/>
  <c r="W217" i="12" s="1"/>
  <c r="S217" i="12"/>
  <c r="T217" i="12" s="1"/>
  <c r="G233" i="12"/>
  <c r="W233" i="12" s="1"/>
  <c r="S233" i="12"/>
  <c r="V85" i="12"/>
  <c r="W85" i="12" s="1"/>
  <c r="G28" i="12"/>
  <c r="V142" i="11"/>
  <c r="V222" i="10"/>
  <c r="G184" i="2"/>
  <c r="V184" i="2" s="1"/>
  <c r="S184" i="2"/>
  <c r="J87" i="4"/>
  <c r="W87" i="4"/>
  <c r="J133" i="4"/>
  <c r="V133" i="4"/>
  <c r="V137" i="4"/>
  <c r="J137" i="4"/>
  <c r="T196" i="6"/>
  <c r="S196" i="6"/>
  <c r="T248" i="6"/>
  <c r="S140" i="2"/>
  <c r="T140" i="2" s="1"/>
  <c r="G140" i="2"/>
  <c r="S117" i="6"/>
  <c r="T117" i="6"/>
  <c r="T146" i="7"/>
  <c r="S146" i="7"/>
  <c r="S86" i="10"/>
  <c r="T86" i="10"/>
  <c r="S95" i="10"/>
  <c r="G95" i="10"/>
  <c r="F196" i="10"/>
  <c r="S186" i="10"/>
  <c r="T186" i="10" s="1"/>
  <c r="S202" i="10"/>
  <c r="T202" i="10"/>
  <c r="S263" i="10"/>
  <c r="T263" i="10" s="1"/>
  <c r="G263" i="10"/>
  <c r="F133" i="11"/>
  <c r="S134" i="11"/>
  <c r="T134" i="11" s="1"/>
  <c r="S146" i="11"/>
  <c r="T146" i="11"/>
  <c r="S154" i="11"/>
  <c r="T154" i="11"/>
  <c r="G167" i="11"/>
  <c r="T167" i="11"/>
  <c r="S174" i="11"/>
  <c r="G174" i="11"/>
  <c r="V174" i="11" s="1"/>
  <c r="T86" i="13"/>
  <c r="G86" i="13"/>
  <c r="W86" i="13" s="1"/>
  <c r="S103" i="13"/>
  <c r="S110" i="13"/>
  <c r="T110" i="13"/>
  <c r="S124" i="13"/>
  <c r="T124" i="13"/>
  <c r="F121" i="13"/>
  <c r="S121" i="13" s="1"/>
  <c r="T121" i="13" s="1"/>
  <c r="T129" i="13"/>
  <c r="S129" i="13"/>
  <c r="S170" i="13"/>
  <c r="T170" i="13"/>
  <c r="G170" i="13"/>
  <c r="W170" i="13" s="1"/>
  <c r="T189" i="13"/>
  <c r="G255" i="7"/>
  <c r="S255" i="7"/>
  <c r="T255" i="7" s="1"/>
  <c r="G160" i="14"/>
  <c r="G57" i="13"/>
  <c r="V144" i="14"/>
  <c r="W144" i="14" s="1"/>
  <c r="V138" i="14"/>
  <c r="W138" i="14" s="1"/>
  <c r="V98" i="14"/>
  <c r="V196" i="14"/>
  <c r="G57" i="14"/>
  <c r="W131" i="14"/>
  <c r="V139" i="14"/>
  <c r="W139" i="14" s="1"/>
  <c r="V157" i="14"/>
  <c r="V131" i="7"/>
  <c r="W131" i="7" s="1"/>
  <c r="V208" i="12"/>
  <c r="W208" i="12" s="1"/>
  <c r="V157" i="3"/>
  <c r="V93" i="6"/>
  <c r="W93" i="6" s="1"/>
  <c r="V210" i="6"/>
  <c r="W210" i="6" s="1"/>
  <c r="V191" i="6"/>
  <c r="V224" i="6"/>
  <c r="W224" i="6" s="1"/>
  <c r="V110" i="6"/>
  <c r="V218" i="6"/>
  <c r="V227" i="6"/>
  <c r="V141" i="13"/>
  <c r="W141" i="13" s="1"/>
  <c r="V190" i="11"/>
  <c r="W190" i="11" s="1"/>
  <c r="V246" i="2"/>
  <c r="W246" i="2" s="1"/>
  <c r="V136" i="11"/>
  <c r="V188" i="7"/>
  <c r="W188" i="7" s="1"/>
  <c r="V116" i="7"/>
  <c r="V130" i="2"/>
  <c r="W130" i="2" s="1"/>
  <c r="V224" i="2"/>
  <c r="T221" i="6"/>
  <c r="V107" i="7"/>
  <c r="W107" i="7" s="1"/>
  <c r="V227" i="10"/>
  <c r="V198" i="13"/>
  <c r="W198" i="13" s="1"/>
  <c r="W133" i="4"/>
  <c r="T218" i="6"/>
  <c r="S127" i="3"/>
  <c r="T127" i="3" s="1"/>
  <c r="T120" i="5"/>
  <c r="S120" i="5"/>
  <c r="G130" i="5"/>
  <c r="W130" i="5" s="1"/>
  <c r="T130" i="5"/>
  <c r="S110" i="6"/>
  <c r="T110" i="6"/>
  <c r="S157" i="6"/>
  <c r="F153" i="6"/>
  <c r="S168" i="7"/>
  <c r="T168" i="7"/>
  <c r="Y121" i="4"/>
  <c r="T136" i="10"/>
  <c r="F134" i="10"/>
  <c r="S134" i="10" s="1"/>
  <c r="T134" i="10" s="1"/>
  <c r="T173" i="10"/>
  <c r="G173" i="10"/>
  <c r="W173" i="10" s="1"/>
  <c r="S106" i="13"/>
  <c r="T106" i="13"/>
  <c r="G125" i="13"/>
  <c r="W125" i="13" s="1"/>
  <c r="T125" i="13"/>
  <c r="F133" i="13"/>
  <c r="S133" i="13" s="1"/>
  <c r="T133" i="13" s="1"/>
  <c r="G134" i="13"/>
  <c r="V134" i="13" s="1"/>
  <c r="W134" i="13" s="1"/>
  <c r="S150" i="13"/>
  <c r="T150" i="13"/>
  <c r="G154" i="13"/>
  <c r="S154" i="13"/>
  <c r="S177" i="14"/>
  <c r="T177" i="14" s="1"/>
  <c r="S248" i="11"/>
  <c r="T248" i="11" s="1"/>
  <c r="G248" i="11"/>
  <c r="V248" i="11" s="1"/>
  <c r="G253" i="10"/>
  <c r="S253" i="10"/>
  <c r="T253" i="10" s="1"/>
  <c r="S92" i="13"/>
  <c r="T92" i="13" s="1"/>
  <c r="G92" i="13"/>
  <c r="V81" i="13"/>
  <c r="V133" i="14"/>
  <c r="V251" i="14"/>
  <c r="W251" i="14" s="1"/>
  <c r="V83" i="14"/>
  <c r="G71" i="11"/>
  <c r="G71" i="12"/>
  <c r="V122" i="3"/>
  <c r="W122" i="3" s="1"/>
  <c r="V140" i="6"/>
  <c r="W140" i="6" s="1"/>
  <c r="V168" i="6"/>
  <c r="V161" i="6"/>
  <c r="V141" i="6"/>
  <c r="W141" i="6" s="1"/>
  <c r="V162" i="11"/>
  <c r="G28" i="5"/>
  <c r="V130" i="5"/>
  <c r="V124" i="2"/>
  <c r="V241" i="11"/>
  <c r="G57" i="2"/>
  <c r="V91" i="2"/>
  <c r="W91" i="2" s="1"/>
  <c r="V200" i="2"/>
  <c r="V169" i="6"/>
  <c r="G196" i="10"/>
  <c r="V186" i="13"/>
  <c r="G28" i="10"/>
  <c r="V181" i="5"/>
  <c r="V86" i="5"/>
  <c r="T94" i="6"/>
  <c r="S94" i="6"/>
  <c r="T179" i="6"/>
  <c r="S172" i="2"/>
  <c r="G172" i="2"/>
  <c r="G176" i="2" s="1"/>
  <c r="F109" i="5"/>
  <c r="S109" i="5" s="1"/>
  <c r="T119" i="6"/>
  <c r="S119" i="6"/>
  <c r="F139" i="6"/>
  <c r="S139" i="6" s="1"/>
  <c r="T139" i="6" s="1"/>
  <c r="S140" i="6"/>
  <c r="T140" i="6" s="1"/>
  <c r="T158" i="6"/>
  <c r="S158" i="6"/>
  <c r="S107" i="10"/>
  <c r="G107" i="10"/>
  <c r="W107" i="10" s="1"/>
  <c r="T144" i="10"/>
  <c r="S144" i="10"/>
  <c r="T153" i="10"/>
  <c r="G153" i="10"/>
  <c r="W153" i="10" s="1"/>
  <c r="S161" i="10"/>
  <c r="G161" i="10"/>
  <c r="G170" i="10"/>
  <c r="T170" i="10"/>
  <c r="S191" i="10"/>
  <c r="T191" i="10"/>
  <c r="T115" i="12"/>
  <c r="S115" i="12"/>
  <c r="T122" i="12"/>
  <c r="S122" i="12"/>
  <c r="T232" i="12"/>
  <c r="S232" i="12"/>
  <c r="S259" i="12"/>
  <c r="T259" i="12" s="1"/>
  <c r="S142" i="13"/>
  <c r="T142" i="13" s="1"/>
  <c r="G142" i="13"/>
  <c r="G139" i="13" s="1"/>
  <c r="T147" i="13"/>
  <c r="G147" i="13"/>
  <c r="W147" i="13" s="1"/>
  <c r="S147" i="13"/>
  <c r="V92" i="13"/>
  <c r="W92" i="13" s="1"/>
  <c r="G99" i="13"/>
  <c r="V104" i="13"/>
  <c r="V83" i="13"/>
  <c r="G229" i="13"/>
  <c r="V229" i="13" s="1"/>
  <c r="W229" i="13" s="1"/>
  <c r="V162" i="5"/>
  <c r="V264" i="5"/>
  <c r="W264" i="5" s="1"/>
  <c r="V133" i="5"/>
  <c r="W133" i="5" s="1"/>
  <c r="V113" i="10"/>
  <c r="T167" i="2"/>
  <c r="S167" i="2"/>
  <c r="V169" i="4"/>
  <c r="J169" i="4"/>
  <c r="W187" i="4"/>
  <c r="J187" i="4"/>
  <c r="Z187" i="4" s="1"/>
  <c r="G228" i="5"/>
  <c r="V228" i="5" s="1"/>
  <c r="W228" i="5" s="1"/>
  <c r="F73" i="7"/>
  <c r="T104" i="5"/>
  <c r="G104" i="5"/>
  <c r="W104" i="5" s="1"/>
  <c r="V128" i="5"/>
  <c r="F127" i="6"/>
  <c r="T143" i="6"/>
  <c r="Y93" i="4"/>
  <c r="G243" i="10"/>
  <c r="S243" i="10"/>
  <c r="T243" i="10" s="1"/>
  <c r="T135" i="11"/>
  <c r="S135" i="11"/>
  <c r="S180" i="11"/>
  <c r="T180" i="11"/>
  <c r="G109" i="12"/>
  <c r="T109" i="12"/>
  <c r="F112" i="12"/>
  <c r="S156" i="12"/>
  <c r="T156" i="12"/>
  <c r="T107" i="13"/>
  <c r="S107" i="13"/>
  <c r="T190" i="13"/>
  <c r="G190" i="13"/>
  <c r="W190" i="13" s="1"/>
  <c r="F106" i="14"/>
  <c r="S134" i="14"/>
  <c r="T134" i="14"/>
  <c r="G102" i="12"/>
  <c r="V196" i="7"/>
  <c r="W196" i="7" s="1"/>
  <c r="V230" i="3"/>
  <c r="W230" i="3" s="1"/>
  <c r="V187" i="13"/>
  <c r="V95" i="12"/>
  <c r="V169" i="12"/>
  <c r="V96" i="13"/>
  <c r="J95" i="4"/>
  <c r="Z95" i="4" s="1"/>
  <c r="V95" i="4"/>
  <c r="W95" i="4"/>
  <c r="S124" i="2"/>
  <c r="T124" i="2"/>
  <c r="V175" i="5"/>
  <c r="S87" i="10"/>
  <c r="T87" i="10"/>
  <c r="T148" i="11"/>
  <c r="G148" i="11"/>
  <c r="W148" i="11" s="1"/>
  <c r="G188" i="13"/>
  <c r="W188" i="13" s="1"/>
  <c r="G220" i="13"/>
  <c r="G34" i="13"/>
  <c r="G42" i="13" s="1"/>
  <c r="G66" i="13"/>
  <c r="G71" i="13" s="1"/>
  <c r="U137" i="13"/>
  <c r="V137" i="13" s="1"/>
  <c r="U172" i="13"/>
  <c r="V172" i="13" s="1"/>
  <c r="W172" i="13" s="1"/>
  <c r="U208" i="13"/>
  <c r="V208" i="13" s="1"/>
  <c r="U167" i="13"/>
  <c r="V167" i="13" s="1"/>
  <c r="G199" i="13"/>
  <c r="G204" i="13" s="1"/>
  <c r="U169" i="13"/>
  <c r="V169" i="13" s="1"/>
  <c r="U211" i="13"/>
  <c r="V211" i="13" s="1"/>
  <c r="U190" i="13"/>
  <c r="V190" i="13" s="1"/>
  <c r="U140" i="13"/>
  <c r="V140" i="13" s="1"/>
  <c r="W140" i="13" s="1"/>
  <c r="U216" i="13"/>
  <c r="V216" i="13" s="1"/>
  <c r="W216" i="13" s="1"/>
  <c r="U150" i="13"/>
  <c r="V150" i="13" s="1"/>
  <c r="U130" i="13"/>
  <c r="U164" i="13"/>
  <c r="G25" i="13"/>
  <c r="G28" i="13" s="1"/>
  <c r="U85" i="13"/>
  <c r="V85" i="13" s="1"/>
  <c r="T94" i="13"/>
  <c r="S108" i="13"/>
  <c r="T108" i="13"/>
  <c r="S122" i="13"/>
  <c r="T122" i="13" s="1"/>
  <c r="G122" i="13"/>
  <c r="G136" i="13"/>
  <c r="G133" i="13" s="1"/>
  <c r="V133" i="13" s="1"/>
  <c r="W133" i="13" s="1"/>
  <c r="T147" i="14"/>
  <c r="S147" i="14"/>
  <c r="G257" i="7"/>
  <c r="T257" i="7"/>
  <c r="T81" i="12"/>
  <c r="V114" i="5"/>
  <c r="V94" i="5"/>
  <c r="W94" i="5" s="1"/>
  <c r="V84" i="10"/>
  <c r="J28" i="4"/>
  <c r="J73" i="4" s="1"/>
  <c r="F73" i="6"/>
  <c r="F99" i="6"/>
  <c r="F103" i="11"/>
  <c r="T159" i="11"/>
  <c r="S159" i="11"/>
  <c r="F73" i="12"/>
  <c r="T226" i="12"/>
  <c r="V234" i="12"/>
  <c r="W234" i="12" s="1"/>
  <c r="G219" i="13"/>
  <c r="V219" i="13" s="1"/>
  <c r="W219" i="13" s="1"/>
  <c r="T157" i="14"/>
  <c r="S157" i="14"/>
  <c r="V135" i="5"/>
  <c r="W135" i="5" s="1"/>
  <c r="F222" i="13"/>
  <c r="F118" i="12"/>
  <c r="V195" i="12"/>
  <c r="W195" i="12" s="1"/>
  <c r="F96" i="14"/>
  <c r="F103" i="14" s="1"/>
  <c r="G244" i="14"/>
  <c r="W222" i="10"/>
  <c r="F224" i="10"/>
  <c r="T222" i="10"/>
  <c r="G224" i="10"/>
  <c r="V224" i="10" s="1"/>
  <c r="W224" i="10" s="1"/>
  <c r="V224" i="7"/>
  <c r="T224" i="7"/>
  <c r="F229" i="7"/>
  <c r="S229" i="7" s="1"/>
  <c r="T229" i="7" s="1"/>
  <c r="G229" i="7"/>
  <c r="V229" i="7" s="1"/>
  <c r="V225" i="7"/>
  <c r="W225" i="7" s="1"/>
  <c r="T219" i="11"/>
  <c r="V217" i="11"/>
  <c r="G219" i="11"/>
  <c r="S218" i="11"/>
  <c r="V99" i="13"/>
  <c r="W99" i="13" s="1"/>
  <c r="V159" i="13"/>
  <c r="V247" i="13"/>
  <c r="W247" i="13" s="1"/>
  <c r="V119" i="13"/>
  <c r="V153" i="13"/>
  <c r="G242" i="13"/>
  <c r="V120" i="13"/>
  <c r="W159" i="13"/>
  <c r="V115" i="13"/>
  <c r="V209" i="13"/>
  <c r="V148" i="13"/>
  <c r="V105" i="13"/>
  <c r="V225" i="13"/>
  <c r="W225" i="13" s="1"/>
  <c r="G88" i="13"/>
  <c r="G180" i="13"/>
  <c r="W180" i="13" s="1"/>
  <c r="V160" i="13"/>
  <c r="G103" i="13"/>
  <c r="W103" i="13" s="1"/>
  <c r="V193" i="13"/>
  <c r="V111" i="13"/>
  <c r="V93" i="13"/>
  <c r="W93" i="13" s="1"/>
  <c r="V201" i="13"/>
  <c r="W128" i="13"/>
  <c r="V91" i="13"/>
  <c r="W91" i="13" s="1"/>
  <c r="V188" i="13"/>
  <c r="G83" i="7"/>
  <c r="T88" i="7"/>
  <c r="G84" i="7"/>
  <c r="S87" i="7"/>
  <c r="V88" i="7"/>
  <c r="T83" i="7"/>
  <c r="F101" i="7"/>
  <c r="G87" i="7"/>
  <c r="S84" i="7"/>
  <c r="T84" i="7" s="1"/>
  <c r="W181" i="5"/>
  <c r="W130" i="4"/>
  <c r="W110" i="5"/>
  <c r="F100" i="5"/>
  <c r="S100" i="5" s="1"/>
  <c r="T100" i="5" s="1"/>
  <c r="G116" i="5"/>
  <c r="V116" i="5" s="1"/>
  <c r="T110" i="5"/>
  <c r="F228" i="5"/>
  <c r="S228" i="5" s="1"/>
  <c r="T228" i="5" s="1"/>
  <c r="S206" i="5"/>
  <c r="W128" i="5"/>
  <c r="S181" i="5"/>
  <c r="T181" i="5" s="1"/>
  <c r="S93" i="5"/>
  <c r="T93" i="5" s="1"/>
  <c r="W134" i="5"/>
  <c r="G168" i="5"/>
  <c r="W168" i="5" s="1"/>
  <c r="S196" i="5"/>
  <c r="G123" i="5"/>
  <c r="G118" i="5"/>
  <c r="W118" i="5" s="1"/>
  <c r="S225" i="5"/>
  <c r="V225" i="5"/>
  <c r="G91" i="5"/>
  <c r="V226" i="5"/>
  <c r="S211" i="5"/>
  <c r="T211" i="5" s="1"/>
  <c r="G154" i="5"/>
  <c r="V154" i="5" s="1"/>
  <c r="F121" i="5"/>
  <c r="S121" i="5" s="1"/>
  <c r="F98" i="5"/>
  <c r="T91" i="5"/>
  <c r="W175" i="5"/>
  <c r="S110" i="5"/>
  <c r="G196" i="5"/>
  <c r="T123" i="5"/>
  <c r="S132" i="5"/>
  <c r="T132" i="5" s="1"/>
  <c r="V160" i="5"/>
  <c r="T225" i="5"/>
  <c r="F73" i="5"/>
  <c r="V125" i="5"/>
  <c r="F103" i="5"/>
  <c r="F152" i="5"/>
  <c r="S152" i="5" s="1"/>
  <c r="T152" i="5" s="1"/>
  <c r="S116" i="5"/>
  <c r="V157" i="5"/>
  <c r="W215" i="5"/>
  <c r="S231" i="5"/>
  <c r="T231" i="5" s="1"/>
  <c r="T85" i="5"/>
  <c r="G95" i="5"/>
  <c r="V95" i="5" s="1"/>
  <c r="W95" i="5" s="1"/>
  <c r="V197" i="5"/>
  <c r="F170" i="5"/>
  <c r="T170" i="5" s="1"/>
  <c r="G170" i="5"/>
  <c r="V170" i="5" s="1"/>
  <c r="S168" i="5"/>
  <c r="S106" i="5"/>
  <c r="S239" i="5"/>
  <c r="S160" i="5"/>
  <c r="V214" i="5"/>
  <c r="W214" i="5" s="1"/>
  <c r="T157" i="5"/>
  <c r="V171" i="5"/>
  <c r="W170" i="5"/>
  <c r="W200" i="5"/>
  <c r="S161" i="5"/>
  <c r="F158" i="5"/>
  <c r="T161" i="5"/>
  <c r="S267" i="5"/>
  <c r="T267" i="5" s="1"/>
  <c r="G267" i="5"/>
  <c r="V267" i="5" s="1"/>
  <c r="V111" i="5"/>
  <c r="G109" i="5"/>
  <c r="W116" i="5"/>
  <c r="V166" i="5"/>
  <c r="V183" i="5"/>
  <c r="W183" i="5"/>
  <c r="V231" i="5"/>
  <c r="W231" i="5" s="1"/>
  <c r="S219" i="5"/>
  <c r="T219" i="5" s="1"/>
  <c r="T92" i="5"/>
  <c r="G92" i="5"/>
  <c r="F99" i="5"/>
  <c r="S99" i="5" s="1"/>
  <c r="T99" i="5" s="1"/>
  <c r="T182" i="5"/>
  <c r="G182" i="5"/>
  <c r="F189" i="5"/>
  <c r="V223" i="5"/>
  <c r="W223" i="5"/>
  <c r="T232" i="5"/>
  <c r="F236" i="5"/>
  <c r="T119" i="5"/>
  <c r="F115" i="5"/>
  <c r="S119" i="5"/>
  <c r="T124" i="5"/>
  <c r="G124" i="5"/>
  <c r="V129" i="5"/>
  <c r="W129" i="5" s="1"/>
  <c r="G240" i="5"/>
  <c r="T240" i="5"/>
  <c r="F243" i="5"/>
  <c r="S243" i="5" s="1"/>
  <c r="T243" i="5" s="1"/>
  <c r="T257" i="5"/>
  <c r="G257" i="5"/>
  <c r="G186" i="5"/>
  <c r="V186" i="5" s="1"/>
  <c r="W186" i="5" s="1"/>
  <c r="S186" i="5"/>
  <c r="T186" i="5" s="1"/>
  <c r="S256" i="5"/>
  <c r="T256" i="5" s="1"/>
  <c r="G256" i="5"/>
  <c r="V200" i="5"/>
  <c r="T98" i="5"/>
  <c r="S98" i="5"/>
  <c r="V265" i="5"/>
  <c r="W265" i="5" s="1"/>
  <c r="G57" i="5"/>
  <c r="V271" i="5"/>
  <c r="S83" i="5"/>
  <c r="T83" i="5"/>
  <c r="G83" i="5"/>
  <c r="G87" i="5"/>
  <c r="S87" i="5"/>
  <c r="T87" i="5"/>
  <c r="S202" i="5"/>
  <c r="T202" i="5"/>
  <c r="G202" i="5"/>
  <c r="G207" i="5" s="1"/>
  <c r="G213" i="5"/>
  <c r="S213" i="5"/>
  <c r="T213" i="5" s="1"/>
  <c r="F127" i="5"/>
  <c r="S127" i="5" s="1"/>
  <c r="T127" i="5" s="1"/>
  <c r="U246" i="5"/>
  <c r="X175" i="4" s="1"/>
  <c r="U175" i="4"/>
  <c r="T136" i="5"/>
  <c r="F131" i="5"/>
  <c r="G136" i="5"/>
  <c r="G131" i="5" s="1"/>
  <c r="G161" i="5"/>
  <c r="W161" i="5" s="1"/>
  <c r="W112" i="5"/>
  <c r="V112" i="5"/>
  <c r="V119" i="5"/>
  <c r="S194" i="5"/>
  <c r="G194" i="5"/>
  <c r="F205" i="5"/>
  <c r="F208" i="5"/>
  <c r="S265" i="5"/>
  <c r="T265" i="5" s="1"/>
  <c r="W185" i="5"/>
  <c r="V185" i="5"/>
  <c r="G122" i="5"/>
  <c r="T122" i="5"/>
  <c r="S126" i="5"/>
  <c r="G126" i="5"/>
  <c r="W126" i="5" s="1"/>
  <c r="G155" i="5"/>
  <c r="V155" i="5" s="1"/>
  <c r="W155" i="5" s="1"/>
  <c r="S155" i="5"/>
  <c r="T155" i="5" s="1"/>
  <c r="F164" i="5"/>
  <c r="T165" i="5"/>
  <c r="G165" i="5"/>
  <c r="G164" i="5" s="1"/>
  <c r="V234" i="5"/>
  <c r="W234" i="5" s="1"/>
  <c r="T185" i="5"/>
  <c r="T166" i="5"/>
  <c r="G42" i="5"/>
  <c r="G71" i="5"/>
  <c r="S241" i="5"/>
  <c r="V201" i="5"/>
  <c r="W263" i="6"/>
  <c r="V137" i="6"/>
  <c r="W259" i="6"/>
  <c r="V112" i="6"/>
  <c r="G42" i="6"/>
  <c r="V263" i="6"/>
  <c r="Y130" i="4"/>
  <c r="V200" i="6"/>
  <c r="G133" i="6"/>
  <c r="Z128" i="4"/>
  <c r="G103" i="6"/>
  <c r="G115" i="6"/>
  <c r="V115" i="6" s="1"/>
  <c r="V131" i="6"/>
  <c r="V135" i="6"/>
  <c r="V163" i="6"/>
  <c r="G57" i="6"/>
  <c r="G127" i="6"/>
  <c r="V92" i="6"/>
  <c r="W92" i="6" s="1"/>
  <c r="V165" i="6"/>
  <c r="V225" i="6"/>
  <c r="G109" i="6"/>
  <c r="V108" i="6"/>
  <c r="V107" i="6"/>
  <c r="V170" i="6"/>
  <c r="G71" i="6"/>
  <c r="V232" i="6"/>
  <c r="W232" i="6" s="1"/>
  <c r="V167" i="6"/>
  <c r="G28" i="6"/>
  <c r="G139" i="6"/>
  <c r="V139" i="6" s="1"/>
  <c r="S110" i="10"/>
  <c r="T110" i="10" s="1"/>
  <c r="G110" i="10"/>
  <c r="V110" i="10" s="1"/>
  <c r="S112" i="10"/>
  <c r="T112" i="10" s="1"/>
  <c r="F109" i="10"/>
  <c r="F165" i="10" s="1"/>
  <c r="W196" i="12"/>
  <c r="G207" i="12"/>
  <c r="T127" i="2"/>
  <c r="V233" i="12"/>
  <c r="V240" i="11"/>
  <c r="W240" i="11" s="1"/>
  <c r="F252" i="11"/>
  <c r="S252" i="11" s="1"/>
  <c r="T252" i="11" s="1"/>
  <c r="V104" i="3"/>
  <c r="V211" i="3"/>
  <c r="V103" i="13"/>
  <c r="V179" i="14"/>
  <c r="W179" i="14" s="1"/>
  <c r="G145" i="7"/>
  <c r="W147" i="7"/>
  <c r="V88" i="12"/>
  <c r="W88" i="12"/>
  <c r="G103" i="12"/>
  <c r="V119" i="12"/>
  <c r="G118" i="12"/>
  <c r="S124" i="12"/>
  <c r="T124" i="12"/>
  <c r="G153" i="12"/>
  <c r="W155" i="12"/>
  <c r="V155" i="12"/>
  <c r="W160" i="14"/>
  <c r="V160" i="14"/>
  <c r="V157" i="13"/>
  <c r="W109" i="14"/>
  <c r="V109" i="14"/>
  <c r="W135" i="14"/>
  <c r="V135" i="14"/>
  <c r="W108" i="14"/>
  <c r="G106" i="14"/>
  <c r="W122" i="14"/>
  <c r="G118" i="14"/>
  <c r="V122" i="14"/>
  <c r="V203" i="14"/>
  <c r="W203" i="14" s="1"/>
  <c r="G207" i="14"/>
  <c r="V207" i="14" s="1"/>
  <c r="V192" i="14"/>
  <c r="W192" i="14" s="1"/>
  <c r="W172" i="12"/>
  <c r="V172" i="12"/>
  <c r="G171" i="12"/>
  <c r="S267" i="12"/>
  <c r="T267" i="12" s="1"/>
  <c r="W113" i="13"/>
  <c r="V113" i="13"/>
  <c r="G109" i="13"/>
  <c r="W121" i="6"/>
  <c r="V109" i="11"/>
  <c r="W109" i="11" s="1"/>
  <c r="W119" i="12"/>
  <c r="G221" i="6"/>
  <c r="W219" i="6"/>
  <c r="V219" i="6"/>
  <c r="G106" i="7"/>
  <c r="W111" i="7"/>
  <c r="V116" i="10"/>
  <c r="W98" i="14"/>
  <c r="W151" i="14"/>
  <c r="G148" i="14"/>
  <c r="V175" i="14"/>
  <c r="W175" i="14" s="1"/>
  <c r="W113" i="7"/>
  <c r="V188" i="11"/>
  <c r="W188" i="11" s="1"/>
  <c r="W88" i="3"/>
  <c r="V88" i="3"/>
  <c r="V265" i="7"/>
  <c r="W265" i="7" s="1"/>
  <c r="W175" i="10"/>
  <c r="V257" i="3"/>
  <c r="W257" i="3" s="1"/>
  <c r="W163" i="3"/>
  <c r="W161" i="3"/>
  <c r="V201" i="6"/>
  <c r="V147" i="7"/>
  <c r="G216" i="10"/>
  <c r="G101" i="12"/>
  <c r="W157" i="13"/>
  <c r="G121" i="2"/>
  <c r="W122" i="2"/>
  <c r="G213" i="2"/>
  <c r="V211" i="2"/>
  <c r="W211" i="2"/>
  <c r="T121" i="5"/>
  <c r="W167" i="5"/>
  <c r="G158" i="5"/>
  <c r="V161" i="5"/>
  <c r="W85" i="11"/>
  <c r="V85" i="11"/>
  <c r="G98" i="11"/>
  <c r="W211" i="13"/>
  <c r="G213" i="13"/>
  <c r="T229" i="13"/>
  <c r="V253" i="13"/>
  <c r="W253" i="13" s="1"/>
  <c r="W149" i="13"/>
  <c r="V149" i="13"/>
  <c r="W155" i="14"/>
  <c r="V155" i="14"/>
  <c r="G154" i="14"/>
  <c r="V143" i="14"/>
  <c r="W143" i="14" s="1"/>
  <c r="G142" i="14"/>
  <c r="G197" i="14"/>
  <c r="V92" i="7"/>
  <c r="W92" i="7" s="1"/>
  <c r="G163" i="7"/>
  <c r="V165" i="7"/>
  <c r="W165" i="7"/>
  <c r="V151" i="3"/>
  <c r="W151" i="3" s="1"/>
  <c r="W211" i="3"/>
  <c r="S206" i="3"/>
  <c r="T206" i="3" s="1"/>
  <c r="W216" i="11"/>
  <c r="S221" i="11"/>
  <c r="T221" i="11" s="1"/>
  <c r="W109" i="5"/>
  <c r="V109" i="5"/>
  <c r="S197" i="10"/>
  <c r="T197" i="10" s="1"/>
  <c r="V213" i="10"/>
  <c r="W112" i="12"/>
  <c r="V112" i="12"/>
  <c r="G176" i="13"/>
  <c r="G198" i="14"/>
  <c r="V189" i="13"/>
  <c r="W189" i="13" s="1"/>
  <c r="W169" i="5"/>
  <c r="V169" i="5"/>
  <c r="S236" i="7"/>
  <c r="T236" i="7"/>
  <c r="W232" i="12"/>
  <c r="V232" i="12"/>
  <c r="V126" i="13"/>
  <c r="W126" i="13"/>
  <c r="G216" i="14"/>
  <c r="W216" i="14" s="1"/>
  <c r="S224" i="14"/>
  <c r="T224" i="14" s="1"/>
  <c r="V240" i="13"/>
  <c r="W240" i="13" s="1"/>
  <c r="W132" i="14"/>
  <c r="V132" i="14"/>
  <c r="G130" i="14"/>
  <c r="W249" i="14"/>
  <c r="V187" i="12"/>
  <c r="W187" i="12" s="1"/>
  <c r="V205" i="12"/>
  <c r="W205" i="12" s="1"/>
  <c r="G209" i="12"/>
  <c r="G210" i="12"/>
  <c r="V162" i="2"/>
  <c r="V170" i="2"/>
  <c r="W187" i="2"/>
  <c r="V187" i="2"/>
  <c r="W108" i="5"/>
  <c r="V108" i="5"/>
  <c r="W180" i="5"/>
  <c r="G203" i="6"/>
  <c r="V188" i="6"/>
  <c r="W211" i="7"/>
  <c r="V215" i="7"/>
  <c r="W215" i="7"/>
  <c r="S128" i="10"/>
  <c r="G134" i="10"/>
  <c r="V137" i="10"/>
  <c r="G106" i="12"/>
  <c r="V111" i="12"/>
  <c r="W165" i="14"/>
  <c r="V165" i="14"/>
  <c r="W228" i="14"/>
  <c r="G231" i="14"/>
  <c r="W219" i="14"/>
  <c r="G28" i="14"/>
  <c r="G71" i="14"/>
  <c r="W130" i="7"/>
  <c r="S112" i="7"/>
  <c r="T112" i="7" s="1"/>
  <c r="S130" i="7"/>
  <c r="T130" i="7" s="1"/>
  <c r="W177" i="7"/>
  <c r="V186" i="11"/>
  <c r="W186" i="11" s="1"/>
  <c r="V226" i="2"/>
  <c r="W88" i="6"/>
  <c r="G98" i="6"/>
  <c r="V136" i="6"/>
  <c r="W136" i="6"/>
  <c r="T183" i="7"/>
  <c r="T201" i="7"/>
  <c r="T124" i="14"/>
  <c r="T130" i="14"/>
  <c r="W125" i="14"/>
  <c r="G124" i="14"/>
  <c r="V147" i="14"/>
  <c r="V191" i="14"/>
  <c r="W191" i="14" s="1"/>
  <c r="V141" i="14"/>
  <c r="W141" i="14" s="1"/>
  <c r="V200" i="13"/>
  <c r="W200" i="13" s="1"/>
  <c r="T118" i="14"/>
  <c r="W115" i="7"/>
  <c r="S202" i="7"/>
  <c r="T202" i="7" s="1"/>
  <c r="S210" i="12"/>
  <c r="T210" i="12" s="1"/>
  <c r="G212" i="6"/>
  <c r="W131" i="2"/>
  <c r="V131" i="2"/>
  <c r="V203" i="5"/>
  <c r="W203" i="5"/>
  <c r="W81" i="5"/>
  <c r="V81" i="5"/>
  <c r="W128" i="6"/>
  <c r="Z181" i="4"/>
  <c r="Y181" i="4"/>
  <c r="W250" i="2"/>
  <c r="V250" i="2"/>
  <c r="W171" i="2"/>
  <c r="V171" i="2"/>
  <c r="G57" i="7"/>
  <c r="V150" i="7"/>
  <c r="S228" i="11"/>
  <c r="T228" i="11"/>
  <c r="W164" i="12"/>
  <c r="V164" i="12"/>
  <c r="S93" i="2"/>
  <c r="G93" i="2"/>
  <c r="T93" i="2"/>
  <c r="W152" i="4"/>
  <c r="J152" i="4"/>
  <c r="V152" i="4"/>
  <c r="G184" i="5"/>
  <c r="T184" i="5"/>
  <c r="S184" i="5"/>
  <c r="S178" i="6"/>
  <c r="T178" i="6" s="1"/>
  <c r="G178" i="6"/>
  <c r="S172" i="11"/>
  <c r="T172" i="11"/>
  <c r="S183" i="11"/>
  <c r="T183" i="11" s="1"/>
  <c r="G183" i="11"/>
  <c r="F193" i="11"/>
  <c r="F237" i="12"/>
  <c r="G231" i="12"/>
  <c r="T111" i="13"/>
  <c r="F109" i="13"/>
  <c r="S111" i="13"/>
  <c r="S130" i="13"/>
  <c r="G130" i="13"/>
  <c r="T130" i="13"/>
  <c r="T148" i="13"/>
  <c r="S148" i="13"/>
  <c r="T168" i="13"/>
  <c r="S168" i="13"/>
  <c r="S181" i="13"/>
  <c r="T181" i="13"/>
  <c r="G181" i="13"/>
  <c r="V181" i="13" s="1"/>
  <c r="S95" i="11"/>
  <c r="T95" i="11" s="1"/>
  <c r="G95" i="11"/>
  <c r="F121" i="11"/>
  <c r="S122" i="11"/>
  <c r="T122" i="11" s="1"/>
  <c r="G122" i="11"/>
  <c r="F139" i="11"/>
  <c r="S141" i="11"/>
  <c r="T141" i="11" s="1"/>
  <c r="G141" i="11"/>
  <c r="S189" i="11"/>
  <c r="T189" i="11" s="1"/>
  <c r="G189" i="11"/>
  <c r="S200" i="11"/>
  <c r="T200" i="11" s="1"/>
  <c r="F204" i="11"/>
  <c r="S246" i="11"/>
  <c r="T246" i="11" s="1"/>
  <c r="G246" i="11"/>
  <c r="G265" i="10"/>
  <c r="S247" i="14"/>
  <c r="T247" i="14" s="1"/>
  <c r="W160" i="13"/>
  <c r="V87" i="6"/>
  <c r="V143" i="13"/>
  <c r="W143" i="13" s="1"/>
  <c r="G199" i="7"/>
  <c r="T209" i="11"/>
  <c r="F213" i="11"/>
  <c r="V117" i="12"/>
  <c r="W167" i="12"/>
  <c r="T139" i="2"/>
  <c r="V217" i="6"/>
  <c r="S171" i="2"/>
  <c r="V213" i="5"/>
  <c r="W213" i="5" s="1"/>
  <c r="W174" i="5"/>
  <c r="V174" i="5"/>
  <c r="V138" i="6"/>
  <c r="V182" i="6"/>
  <c r="W182" i="6" s="1"/>
  <c r="V146" i="11"/>
  <c r="W224" i="5"/>
  <c r="V105" i="11"/>
  <c r="W105" i="11" s="1"/>
  <c r="W148" i="7"/>
  <c r="V148" i="7"/>
  <c r="V158" i="7"/>
  <c r="V234" i="7"/>
  <c r="V117" i="2"/>
  <c r="W117" i="2"/>
  <c r="V193" i="5"/>
  <c r="V257" i="5"/>
  <c r="W257" i="5" s="1"/>
  <c r="G172" i="11"/>
  <c r="V127" i="12"/>
  <c r="V144" i="13"/>
  <c r="G179" i="10"/>
  <c r="Y88" i="4"/>
  <c r="Z88" i="4"/>
  <c r="W239" i="5"/>
  <c r="T98" i="6"/>
  <c r="S265" i="7"/>
  <c r="T265" i="7" s="1"/>
  <c r="W110" i="11"/>
  <c r="F195" i="11"/>
  <c r="T186" i="11"/>
  <c r="G209" i="11"/>
  <c r="W241" i="11"/>
  <c r="F130" i="12"/>
  <c r="V132" i="5"/>
  <c r="W132" i="5" s="1"/>
  <c r="G159" i="6"/>
  <c r="W179" i="6"/>
  <c r="V143" i="6"/>
  <c r="W143" i="6" s="1"/>
  <c r="G71" i="7"/>
  <c r="W116" i="7"/>
  <c r="Y91" i="4"/>
  <c r="Z91" i="4"/>
  <c r="V162" i="3"/>
  <c r="V248" i="2"/>
  <c r="W248" i="2" s="1"/>
  <c r="V92" i="2"/>
  <c r="W92" i="2" s="1"/>
  <c r="T200" i="7"/>
  <c r="V120" i="11"/>
  <c r="W113" i="2"/>
  <c r="G243" i="5"/>
  <c r="V155" i="2"/>
  <c r="W92" i="11"/>
  <c r="T92" i="11"/>
  <c r="F194" i="11"/>
  <c r="T241" i="11"/>
  <c r="V81" i="2"/>
  <c r="V158" i="12"/>
  <c r="S231" i="12"/>
  <c r="T231" i="12" s="1"/>
  <c r="V163" i="5"/>
  <c r="W144" i="6"/>
  <c r="W164" i="6"/>
  <c r="V206" i="6"/>
  <c r="W206" i="6" s="1"/>
  <c r="W218" i="6"/>
  <c r="V157" i="6"/>
  <c r="V85" i="6"/>
  <c r="Y142" i="4"/>
  <c r="V93" i="11"/>
  <c r="W93" i="11" s="1"/>
  <c r="W193" i="7"/>
  <c r="V146" i="2"/>
  <c r="W245" i="11"/>
  <c r="T231" i="14"/>
  <c r="V249" i="13"/>
  <c r="W249" i="13" s="1"/>
  <c r="V121" i="3"/>
  <c r="W121" i="3" s="1"/>
  <c r="V208" i="11"/>
  <c r="W208" i="11" s="1"/>
  <c r="V168" i="10"/>
  <c r="V212" i="10"/>
  <c r="S81" i="6"/>
  <c r="T81" i="6"/>
  <c r="T232" i="6"/>
  <c r="T123" i="7"/>
  <c r="F118" i="7"/>
  <c r="V175" i="12"/>
  <c r="V136" i="10"/>
  <c r="V106" i="5"/>
  <c r="Y136" i="4"/>
  <c r="Z136" i="4"/>
  <c r="J182" i="4"/>
  <c r="Z182" i="4" s="1"/>
  <c r="W182" i="4"/>
  <c r="S175" i="5"/>
  <c r="T175" i="5"/>
  <c r="T113" i="6"/>
  <c r="S113" i="6"/>
  <c r="V144" i="2"/>
  <c r="W144" i="2" s="1"/>
  <c r="V173" i="12"/>
  <c r="V181" i="12"/>
  <c r="W181" i="12" s="1"/>
  <c r="Z183" i="4"/>
  <c r="Y183" i="4"/>
  <c r="V246" i="11"/>
  <c r="G42" i="10"/>
  <c r="G73" i="10" s="1"/>
  <c r="V243" i="10"/>
  <c r="W243" i="10" s="1"/>
  <c r="V150" i="10"/>
  <c r="V169" i="10"/>
  <c r="S182" i="6"/>
  <c r="T182" i="6" s="1"/>
  <c r="U175" i="6"/>
  <c r="V175" i="6" s="1"/>
  <c r="G95" i="6"/>
  <c r="U266" i="6"/>
  <c r="G265" i="6"/>
  <c r="G226" i="6"/>
  <c r="W226" i="6" s="1"/>
  <c r="S179" i="3"/>
  <c r="T179" i="3" s="1"/>
  <c r="J134" i="4"/>
  <c r="J96" i="4"/>
  <c r="W205" i="7"/>
  <c r="T180" i="2"/>
  <c r="S92" i="2"/>
  <c r="T92" i="2" s="1"/>
  <c r="S227" i="3"/>
  <c r="T227" i="3" s="1"/>
  <c r="G227" i="3"/>
  <c r="W134" i="4"/>
  <c r="Z153" i="4"/>
  <c r="V187" i="4"/>
  <c r="F207" i="5"/>
  <c r="G173" i="7"/>
  <c r="F220" i="7"/>
  <c r="S168" i="3"/>
  <c r="T129" i="6"/>
  <c r="S138" i="6"/>
  <c r="T138" i="6"/>
  <c r="T141" i="6"/>
  <c r="T153" i="7"/>
  <c r="F151" i="7"/>
  <c r="S155" i="10"/>
  <c r="T155" i="10"/>
  <c r="S163" i="10"/>
  <c r="T163" i="10"/>
  <c r="G223" i="12"/>
  <c r="S223" i="12"/>
  <c r="S118" i="13"/>
  <c r="T118" i="13"/>
  <c r="G190" i="2"/>
  <c r="T190" i="2"/>
  <c r="J185" i="4"/>
  <c r="Z185" i="4" s="1"/>
  <c r="V185" i="4"/>
  <c r="S105" i="2"/>
  <c r="T105" i="2"/>
  <c r="G132" i="2"/>
  <c r="T132" i="2"/>
  <c r="G138" i="2"/>
  <c r="S138" i="2"/>
  <c r="T161" i="6"/>
  <c r="F159" i="6"/>
  <c r="S141" i="7"/>
  <c r="F139" i="7"/>
  <c r="T115" i="10"/>
  <c r="S115" i="10"/>
  <c r="T183" i="14"/>
  <c r="S183" i="14"/>
  <c r="G28" i="7"/>
  <c r="T189" i="2"/>
  <c r="T177" i="3"/>
  <c r="W168" i="4"/>
  <c r="V168" i="4"/>
  <c r="J168" i="4"/>
  <c r="F270" i="6"/>
  <c r="G83" i="10"/>
  <c r="T83" i="10"/>
  <c r="F99" i="11"/>
  <c r="S91" i="11"/>
  <c r="T91" i="11" s="1"/>
  <c r="S184" i="13"/>
  <c r="T184" i="13"/>
  <c r="T121" i="14"/>
  <c r="S242" i="14"/>
  <c r="T242" i="14" s="1"/>
  <c r="F257" i="14"/>
  <c r="G125" i="7"/>
  <c r="V125" i="7" s="1"/>
  <c r="T125" i="7"/>
  <c r="T127" i="7"/>
  <c r="T123" i="11"/>
  <c r="T131" i="13"/>
  <c r="S131" i="13"/>
  <c r="S202" i="13"/>
  <c r="T202" i="13" s="1"/>
  <c r="T243" i="14"/>
  <c r="G266" i="6"/>
  <c r="S266" i="6"/>
  <c r="T266" i="6" s="1"/>
  <c r="G243" i="14"/>
  <c r="W137" i="4"/>
  <c r="T92" i="10"/>
  <c r="F179" i="10"/>
  <c r="F265" i="10"/>
  <c r="T242" i="11"/>
  <c r="T250" i="11"/>
  <c r="T91" i="13"/>
  <c r="T208" i="13"/>
  <c r="F213" i="13"/>
  <c r="F101" i="14"/>
  <c r="S140" i="14"/>
  <c r="T140" i="14" s="1"/>
  <c r="T189" i="14"/>
  <c r="F273" i="5"/>
  <c r="T245" i="13"/>
  <c r="G245" i="13"/>
  <c r="V245" i="13" s="1"/>
  <c r="T99" i="14"/>
  <c r="S105" i="10"/>
  <c r="S157" i="10"/>
  <c r="G157" i="10"/>
  <c r="F109" i="11"/>
  <c r="S117" i="11"/>
  <c r="T117" i="11"/>
  <c r="T119" i="11"/>
  <c r="T128" i="11"/>
  <c r="F127" i="11"/>
  <c r="S140" i="11"/>
  <c r="T140" i="11" s="1"/>
  <c r="T149" i="11"/>
  <c r="S162" i="11"/>
  <c r="G171" i="11"/>
  <c r="T171" i="11"/>
  <c r="T174" i="11"/>
  <c r="F103" i="12"/>
  <c r="F98" i="13"/>
  <c r="S83" i="13"/>
  <c r="T137" i="14"/>
  <c r="F160" i="14"/>
  <c r="T222" i="14"/>
  <c r="S189" i="12"/>
  <c r="T189" i="12" s="1"/>
  <c r="G189" i="12"/>
  <c r="G191" i="12" s="1"/>
  <c r="F255" i="13"/>
  <c r="T251" i="13"/>
  <c r="F154" i="14"/>
  <c r="T249" i="14"/>
  <c r="F267" i="7"/>
  <c r="G243" i="13"/>
  <c r="V144" i="3"/>
  <c r="W144" i="3" s="1"/>
  <c r="G132" i="3" l="1"/>
  <c r="W160" i="3"/>
  <c r="V197" i="3"/>
  <c r="V262" i="3"/>
  <c r="G103" i="3"/>
  <c r="G164" i="3"/>
  <c r="V237" i="3"/>
  <c r="W130" i="3"/>
  <c r="V221" i="3"/>
  <c r="V87" i="3"/>
  <c r="G152" i="3"/>
  <c r="V152" i="3" s="1"/>
  <c r="W155" i="3"/>
  <c r="V155" i="3"/>
  <c r="V85" i="7"/>
  <c r="W86" i="7"/>
  <c r="V86" i="13"/>
  <c r="T203" i="6"/>
  <c r="S203" i="6"/>
  <c r="V96" i="3"/>
  <c r="G120" i="3"/>
  <c r="V120" i="3" s="1"/>
  <c r="W120" i="3" s="1"/>
  <c r="V198" i="3"/>
  <c r="W116" i="10"/>
  <c r="V117" i="5"/>
  <c r="V202" i="6"/>
  <c r="V212" i="3"/>
  <c r="W166" i="3"/>
  <c r="G99" i="3"/>
  <c r="V99" i="3" s="1"/>
  <c r="G158" i="3"/>
  <c r="W158" i="3" s="1"/>
  <c r="W159" i="3"/>
  <c r="G100" i="3"/>
  <c r="G215" i="3"/>
  <c r="G239" i="3"/>
  <c r="V239" i="3" s="1"/>
  <c r="S204" i="3"/>
  <c r="V83" i="3"/>
  <c r="W199" i="3"/>
  <c r="V199" i="3"/>
  <c r="V165" i="3"/>
  <c r="G126" i="3"/>
  <c r="V159" i="3"/>
  <c r="G98" i="3"/>
  <c r="V98" i="3" s="1"/>
  <c r="G187" i="3"/>
  <c r="V187" i="3" s="1"/>
  <c r="W187" i="3" s="1"/>
  <c r="V176" i="3"/>
  <c r="G143" i="3"/>
  <c r="V143" i="3" s="1"/>
  <c r="W143" i="3" s="1"/>
  <c r="V158" i="3"/>
  <c r="W110" i="3"/>
  <c r="V110" i="3"/>
  <c r="V175" i="3"/>
  <c r="T114" i="3"/>
  <c r="S114" i="3"/>
  <c r="V201" i="3"/>
  <c r="W201" i="3"/>
  <c r="W117" i="3"/>
  <c r="V117" i="3"/>
  <c r="V236" i="3"/>
  <c r="S158" i="3"/>
  <c r="T158" i="3"/>
  <c r="T143" i="3"/>
  <c r="V168" i="3"/>
  <c r="G73" i="3"/>
  <c r="F171" i="3"/>
  <c r="S171" i="3" s="1"/>
  <c r="T171" i="3" s="1"/>
  <c r="W119" i="3"/>
  <c r="W113" i="3"/>
  <c r="V113" i="3"/>
  <c r="V256" i="3"/>
  <c r="W256" i="3"/>
  <c r="W235" i="3"/>
  <c r="V235" i="3"/>
  <c r="W154" i="3"/>
  <c r="V154" i="3"/>
  <c r="S98" i="3"/>
  <c r="T98" i="3"/>
  <c r="G264" i="3"/>
  <c r="V264" i="3" s="1"/>
  <c r="W264" i="3" s="1"/>
  <c r="G205" i="3"/>
  <c r="V205" i="3" s="1"/>
  <c r="Y131" i="4"/>
  <c r="T215" i="3"/>
  <c r="V115" i="3"/>
  <c r="G114" i="3"/>
  <c r="V228" i="3"/>
  <c r="W123" i="3"/>
  <c r="V95" i="3"/>
  <c r="S100" i="3"/>
  <c r="T100" i="3" s="1"/>
  <c r="V107" i="3"/>
  <c r="W231" i="10"/>
  <c r="V231" i="10"/>
  <c r="V130" i="13"/>
  <c r="G73" i="2"/>
  <c r="G267" i="7"/>
  <c r="S99" i="10"/>
  <c r="T99" i="10" s="1"/>
  <c r="W110" i="14"/>
  <c r="V110" i="14"/>
  <c r="V118" i="5"/>
  <c r="W115" i="6"/>
  <c r="V104" i="5"/>
  <c r="G73" i="7"/>
  <c r="V84" i="6"/>
  <c r="G115" i="5"/>
  <c r="V168" i="5"/>
  <c r="V125" i="13"/>
  <c r="W220" i="7"/>
  <c r="T109" i="2"/>
  <c r="S145" i="2"/>
  <c r="F124" i="7"/>
  <c r="F170" i="7" s="1"/>
  <c r="G129" i="7"/>
  <c r="V129" i="7" s="1"/>
  <c r="W129" i="7" s="1"/>
  <c r="S129" i="7"/>
  <c r="T129" i="7" s="1"/>
  <c r="S157" i="7"/>
  <c r="T157" i="7"/>
  <c r="W118" i="7"/>
  <c r="V118" i="7"/>
  <c r="Y187" i="4"/>
  <c r="G228" i="2"/>
  <c r="V102" i="12"/>
  <c r="W102" i="12" s="1"/>
  <c r="I103" i="4"/>
  <c r="J103" i="4" s="1"/>
  <c r="I6" i="9" s="1"/>
  <c r="V247" i="14"/>
  <c r="W247" i="14" s="1"/>
  <c r="W159" i="5"/>
  <c r="V159" i="5"/>
  <c r="G101" i="14"/>
  <c r="V87" i="14"/>
  <c r="Z127" i="4"/>
  <c r="V156" i="2"/>
  <c r="V86" i="2"/>
  <c r="S192" i="2"/>
  <c r="T192" i="2"/>
  <c r="V147" i="2"/>
  <c r="W147" i="2"/>
  <c r="W180" i="2"/>
  <c r="G192" i="2"/>
  <c r="V180" i="2"/>
  <c r="W154" i="2"/>
  <c r="V154" i="2"/>
  <c r="V108" i="2"/>
  <c r="W108" i="2"/>
  <c r="W146" i="2"/>
  <c r="G145" i="2"/>
  <c r="G109" i="2"/>
  <c r="W112" i="2"/>
  <c r="V225" i="2"/>
  <c r="W134" i="2"/>
  <c r="V134" i="2"/>
  <c r="T99" i="2"/>
  <c r="T228" i="2"/>
  <c r="S228" i="2"/>
  <c r="S133" i="2"/>
  <c r="T133" i="2"/>
  <c r="V158" i="2"/>
  <c r="W158" i="2"/>
  <c r="V148" i="2"/>
  <c r="V173" i="11"/>
  <c r="W173" i="11" s="1"/>
  <c r="G73" i="13"/>
  <c r="V139" i="13"/>
  <c r="W139" i="13" s="1"/>
  <c r="V122" i="13"/>
  <c r="W122" i="13" s="1"/>
  <c r="G121" i="13"/>
  <c r="V121" i="13" s="1"/>
  <c r="W121" i="13" s="1"/>
  <c r="S106" i="14"/>
  <c r="T106" i="14"/>
  <c r="V153" i="10"/>
  <c r="W154" i="13"/>
  <c r="G151" i="13"/>
  <c r="S196" i="10"/>
  <c r="T196" i="10" s="1"/>
  <c r="S106" i="12"/>
  <c r="T106" i="12"/>
  <c r="V159" i="2"/>
  <c r="W159" i="2"/>
  <c r="G124" i="12"/>
  <c r="W126" i="12"/>
  <c r="V126" i="12"/>
  <c r="W156" i="11"/>
  <c r="V156" i="11"/>
  <c r="V216" i="2"/>
  <c r="W216" i="2" s="1"/>
  <c r="G221" i="2"/>
  <c r="T148" i="14"/>
  <c r="S148" i="14"/>
  <c r="Y118" i="4"/>
  <c r="Z118" i="4"/>
  <c r="V133" i="11"/>
  <c r="W133" i="11" s="1"/>
  <c r="G252" i="2"/>
  <c r="W219" i="3"/>
  <c r="V219" i="3"/>
  <c r="G224" i="3"/>
  <c r="S219" i="12"/>
  <c r="T219" i="12" s="1"/>
  <c r="W181" i="6"/>
  <c r="G73" i="14"/>
  <c r="W198" i="10"/>
  <c r="S187" i="3"/>
  <c r="T187" i="3" s="1"/>
  <c r="W127" i="11"/>
  <c r="G73" i="5"/>
  <c r="W109" i="12"/>
  <c r="V109" i="12"/>
  <c r="W170" i="10"/>
  <c r="V170" i="10"/>
  <c r="Y191" i="4"/>
  <c r="V142" i="13"/>
  <c r="W142" i="13" s="1"/>
  <c r="W174" i="11"/>
  <c r="G73" i="12"/>
  <c r="W88" i="10"/>
  <c r="V88" i="10"/>
  <c r="S157" i="2"/>
  <c r="T157" i="2"/>
  <c r="W153" i="6"/>
  <c r="V153" i="6"/>
  <c r="T98" i="2"/>
  <c r="S98" i="2"/>
  <c r="V150" i="12"/>
  <c r="W150" i="12" s="1"/>
  <c r="G147" i="12"/>
  <c r="V242" i="2"/>
  <c r="W242" i="2" s="1"/>
  <c r="V236" i="7"/>
  <c r="W236" i="7"/>
  <c r="G219" i="5"/>
  <c r="V219" i="5" s="1"/>
  <c r="Y95" i="4"/>
  <c r="G224" i="14"/>
  <c r="T100" i="6"/>
  <c r="G157" i="2"/>
  <c r="V157" i="2" s="1"/>
  <c r="W110" i="10"/>
  <c r="G194" i="13"/>
  <c r="V194" i="13" s="1"/>
  <c r="W194" i="13" s="1"/>
  <c r="F164" i="2"/>
  <c r="S164" i="2" s="1"/>
  <c r="T164" i="2" s="1"/>
  <c r="S170" i="5"/>
  <c r="W85" i="5"/>
  <c r="G96" i="14"/>
  <c r="G103" i="14" s="1"/>
  <c r="F102" i="14"/>
  <c r="S102" i="14" s="1"/>
  <c r="T102" i="14" s="1"/>
  <c r="G222" i="13"/>
  <c r="V222" i="13" s="1"/>
  <c r="W222" i="13" s="1"/>
  <c r="V154" i="13"/>
  <c r="S127" i="6"/>
  <c r="T127" i="6"/>
  <c r="Y169" i="4"/>
  <c r="Z169" i="4"/>
  <c r="V173" i="10"/>
  <c r="W161" i="10"/>
  <c r="G158" i="10"/>
  <c r="V161" i="10"/>
  <c r="V147" i="13"/>
  <c r="V253" i="10"/>
  <c r="W253" i="10" s="1"/>
  <c r="S133" i="11"/>
  <c r="T133" i="11" s="1"/>
  <c r="Z137" i="4"/>
  <c r="Y137" i="4"/>
  <c r="V107" i="10"/>
  <c r="W105" i="10"/>
  <c r="G103" i="10"/>
  <c r="T151" i="2"/>
  <c r="S151" i="2"/>
  <c r="W111" i="3"/>
  <c r="V111" i="3"/>
  <c r="G73" i="11"/>
  <c r="V241" i="12"/>
  <c r="W241" i="12"/>
  <c r="G244" i="12"/>
  <c r="W160" i="11"/>
  <c r="G157" i="11"/>
  <c r="G151" i="11"/>
  <c r="W153" i="11"/>
  <c r="V153" i="11"/>
  <c r="V200" i="7"/>
  <c r="W200" i="7" s="1"/>
  <c r="V148" i="11"/>
  <c r="G145" i="13"/>
  <c r="G108" i="3"/>
  <c r="V178" i="7"/>
  <c r="W178" i="7"/>
  <c r="G145" i="11"/>
  <c r="V214" i="12"/>
  <c r="W214" i="12" s="1"/>
  <c r="G219" i="12"/>
  <c r="V152" i="12"/>
  <c r="W152" i="12" s="1"/>
  <c r="I129" i="4"/>
  <c r="T206" i="5"/>
  <c r="Z163" i="4"/>
  <c r="Y163" i="4"/>
  <c r="Z92" i="4"/>
  <c r="Y92" i="4"/>
  <c r="W205" i="3"/>
  <c r="S118" i="12"/>
  <c r="T118" i="12"/>
  <c r="S99" i="6"/>
  <c r="T99" i="6" s="1"/>
  <c r="V257" i="7"/>
  <c r="W257" i="7"/>
  <c r="W167" i="11"/>
  <c r="V167" i="11"/>
  <c r="T145" i="7"/>
  <c r="S145" i="7"/>
  <c r="W194" i="3"/>
  <c r="G204" i="3"/>
  <c r="V194" i="3"/>
  <c r="S112" i="14"/>
  <c r="T112" i="14"/>
  <c r="Y185" i="4"/>
  <c r="W172" i="2"/>
  <c r="V172" i="2"/>
  <c r="S153" i="6"/>
  <c r="T153" i="6"/>
  <c r="V255" i="7"/>
  <c r="W255" i="7" s="1"/>
  <c r="W95" i="10"/>
  <c r="G99" i="10"/>
  <c r="V99" i="10" s="1"/>
  <c r="W99" i="10" s="1"/>
  <c r="V95" i="10"/>
  <c r="G139" i="2"/>
  <c r="V139" i="2" s="1"/>
  <c r="W139" i="2" s="1"/>
  <c r="V140" i="2"/>
  <c r="W140" i="2" s="1"/>
  <c r="Z133" i="4"/>
  <c r="Y133" i="4"/>
  <c r="W184" i="2"/>
  <c r="G193" i="2"/>
  <c r="W108" i="12"/>
  <c r="V108" i="12"/>
  <c r="S103" i="14"/>
  <c r="T103" i="14" s="1"/>
  <c r="W129" i="12"/>
  <c r="V129" i="12"/>
  <c r="W204" i="10"/>
  <c r="G207" i="10"/>
  <c r="V204" i="10"/>
  <c r="V232" i="5"/>
  <c r="W232" i="5"/>
  <c r="G255" i="13"/>
  <c r="Y182" i="4"/>
  <c r="V211" i="14"/>
  <c r="G109" i="10"/>
  <c r="G136" i="14"/>
  <c r="G73" i="6"/>
  <c r="G103" i="5"/>
  <c r="G273" i="5"/>
  <c r="T109" i="5"/>
  <c r="G236" i="5"/>
  <c r="V236" i="5" s="1"/>
  <c r="W236" i="5" s="1"/>
  <c r="S103" i="11"/>
  <c r="T103" i="11" s="1"/>
  <c r="W136" i="13"/>
  <c r="V136" i="13"/>
  <c r="V199" i="13"/>
  <c r="W199" i="13" s="1"/>
  <c r="T112" i="12"/>
  <c r="S112" i="12"/>
  <c r="V196" i="10"/>
  <c r="W196" i="10" s="1"/>
  <c r="W248" i="11"/>
  <c r="V263" i="10"/>
  <c r="W263" i="10" s="1"/>
  <c r="Y87" i="4"/>
  <c r="Z87" i="4"/>
  <c r="V185" i="12"/>
  <c r="W185" i="12"/>
  <c r="W170" i="12"/>
  <c r="V170" i="12"/>
  <c r="G165" i="12"/>
  <c r="V166" i="12"/>
  <c r="W166" i="12" s="1"/>
  <c r="T103" i="10"/>
  <c r="S103" i="10"/>
  <c r="W144" i="7"/>
  <c r="G139" i="7"/>
  <c r="W152" i="2"/>
  <c r="G151" i="2"/>
  <c r="W86" i="3"/>
  <c r="V86" i="3"/>
  <c r="S176" i="13"/>
  <c r="T176" i="13" s="1"/>
  <c r="W132" i="11"/>
  <c r="V132" i="11"/>
  <c r="V189" i="10"/>
  <c r="W189" i="10" s="1"/>
  <c r="G197" i="10"/>
  <c r="V83" i="2"/>
  <c r="W83" i="2"/>
  <c r="G98" i="2"/>
  <c r="V174" i="12"/>
  <c r="W117" i="14"/>
  <c r="G112" i="14"/>
  <c r="S102" i="12"/>
  <c r="T102" i="12" s="1"/>
  <c r="V180" i="3"/>
  <c r="W180" i="3" s="1"/>
  <c r="V170" i="13"/>
  <c r="G102" i="14"/>
  <c r="G206" i="3"/>
  <c r="V206" i="3" s="1"/>
  <c r="W206" i="3" s="1"/>
  <c r="V105" i="10"/>
  <c r="S224" i="3"/>
  <c r="T224" i="3"/>
  <c r="S216" i="14"/>
  <c r="T216" i="14"/>
  <c r="W95" i="12"/>
  <c r="S184" i="6"/>
  <c r="T184" i="6" s="1"/>
  <c r="V160" i="11"/>
  <c r="V204" i="2"/>
  <c r="W204" i="2" s="1"/>
  <c r="S224" i="10"/>
  <c r="T224" i="10" s="1"/>
  <c r="W229" i="7"/>
  <c r="V219" i="11"/>
  <c r="W219" i="11" s="1"/>
  <c r="G221" i="11"/>
  <c r="W88" i="13"/>
  <c r="V88" i="13"/>
  <c r="G98" i="13"/>
  <c r="V180" i="13"/>
  <c r="G100" i="13"/>
  <c r="V100" i="13" s="1"/>
  <c r="W100" i="13" s="1"/>
  <c r="W87" i="7"/>
  <c r="V87" i="7"/>
  <c r="S101" i="7"/>
  <c r="T101" i="7" s="1"/>
  <c r="V84" i="7"/>
  <c r="W84" i="7" s="1"/>
  <c r="V83" i="7"/>
  <c r="W83" i="7" s="1"/>
  <c r="G103" i="7"/>
  <c r="V103" i="7" s="1"/>
  <c r="W103" i="7" s="1"/>
  <c r="G101" i="7"/>
  <c r="W154" i="5"/>
  <c r="T103" i="5"/>
  <c r="S103" i="5"/>
  <c r="W196" i="5"/>
  <c r="G206" i="5"/>
  <c r="V196" i="5"/>
  <c r="W123" i="5"/>
  <c r="V123" i="5"/>
  <c r="W267" i="5"/>
  <c r="F177" i="5"/>
  <c r="V91" i="5"/>
  <c r="W91" i="5" s="1"/>
  <c r="V207" i="5"/>
  <c r="W207" i="5"/>
  <c r="T208" i="5"/>
  <c r="S208" i="5"/>
  <c r="W182" i="5"/>
  <c r="V182" i="5"/>
  <c r="S164" i="5"/>
  <c r="T164" i="5"/>
  <c r="T205" i="5"/>
  <c r="I126" i="4"/>
  <c r="V126" i="4" s="1"/>
  <c r="W126" i="4" s="1"/>
  <c r="S205" i="5"/>
  <c r="S131" i="5"/>
  <c r="T131" i="5" s="1"/>
  <c r="W83" i="5"/>
  <c r="G100" i="5"/>
  <c r="V100" i="5" s="1"/>
  <c r="W100" i="5" s="1"/>
  <c r="V83" i="5"/>
  <c r="G98" i="5"/>
  <c r="V126" i="5"/>
  <c r="T115" i="5"/>
  <c r="S115" i="5"/>
  <c r="V136" i="5"/>
  <c r="W136" i="5" s="1"/>
  <c r="W87" i="5"/>
  <c r="V87" i="5"/>
  <c r="W194" i="5"/>
  <c r="G205" i="5"/>
  <c r="G152" i="5"/>
  <c r="G127" i="5"/>
  <c r="V256" i="5"/>
  <c r="W256" i="5" s="1"/>
  <c r="W124" i="5"/>
  <c r="V124" i="5"/>
  <c r="T158" i="5"/>
  <c r="S158" i="5"/>
  <c r="G189" i="5"/>
  <c r="W165" i="5"/>
  <c r="V165" i="5"/>
  <c r="W122" i="5"/>
  <c r="G121" i="5"/>
  <c r="V122" i="5"/>
  <c r="W103" i="5"/>
  <c r="V103" i="5"/>
  <c r="W202" i="5"/>
  <c r="V202" i="5"/>
  <c r="V194" i="5"/>
  <c r="V240" i="5"/>
  <c r="W240" i="5" s="1"/>
  <c r="S236" i="5"/>
  <c r="T236" i="5" s="1"/>
  <c r="S189" i="5"/>
  <c r="T189" i="5" s="1"/>
  <c r="V92" i="5"/>
  <c r="W92" i="5" s="1"/>
  <c r="G99" i="5"/>
  <c r="G208" i="5"/>
  <c r="W139" i="6"/>
  <c r="W109" i="6"/>
  <c r="V109" i="6"/>
  <c r="V133" i="6"/>
  <c r="W133" i="6"/>
  <c r="V127" i="6"/>
  <c r="W127" i="6" s="1"/>
  <c r="V103" i="6"/>
  <c r="W103" i="6" s="1"/>
  <c r="S109" i="10"/>
  <c r="T109" i="10" s="1"/>
  <c r="V207" i="12"/>
  <c r="W207" i="12" s="1"/>
  <c r="V189" i="5"/>
  <c r="V191" i="12"/>
  <c r="W191" i="12" s="1"/>
  <c r="S154" i="14"/>
  <c r="T154" i="14"/>
  <c r="F164" i="11"/>
  <c r="S109" i="11"/>
  <c r="T109" i="11" s="1"/>
  <c r="T213" i="13"/>
  <c r="S213" i="13"/>
  <c r="S257" i="14"/>
  <c r="T257" i="14" s="1"/>
  <c r="V83" i="10"/>
  <c r="G98" i="10"/>
  <c r="W83" i="10"/>
  <c r="G100" i="10"/>
  <c r="W132" i="2"/>
  <c r="G127" i="2"/>
  <c r="G228" i="12"/>
  <c r="W223" i="12"/>
  <c r="V223" i="12"/>
  <c r="T220" i="7"/>
  <c r="S220" i="7"/>
  <c r="Z96" i="4"/>
  <c r="Y96" i="4"/>
  <c r="V132" i="2"/>
  <c r="V200" i="11"/>
  <c r="W200" i="11" s="1"/>
  <c r="G204" i="11"/>
  <c r="S130" i="12"/>
  <c r="T130" i="12" s="1"/>
  <c r="S195" i="11"/>
  <c r="T195" i="11" s="1"/>
  <c r="V179" i="10"/>
  <c r="W179" i="10" s="1"/>
  <c r="S213" i="11"/>
  <c r="T213" i="11" s="1"/>
  <c r="V141" i="11"/>
  <c r="G139" i="11"/>
  <c r="W141" i="11"/>
  <c r="G121" i="11"/>
  <c r="V122" i="11"/>
  <c r="W122" i="11" s="1"/>
  <c r="V95" i="11"/>
  <c r="W95" i="11" s="1"/>
  <c r="G237" i="12"/>
  <c r="V231" i="12"/>
  <c r="W231" i="12" s="1"/>
  <c r="V178" i="6"/>
  <c r="W178" i="6" s="1"/>
  <c r="G184" i="6"/>
  <c r="W93" i="2"/>
  <c r="V93" i="2"/>
  <c r="G100" i="2"/>
  <c r="G99" i="2"/>
  <c r="V224" i="14"/>
  <c r="W224" i="14" s="1"/>
  <c r="S165" i="10"/>
  <c r="T165" i="10" s="1"/>
  <c r="V163" i="7"/>
  <c r="W163" i="7"/>
  <c r="V142" i="14"/>
  <c r="W142" i="14" s="1"/>
  <c r="W216" i="10"/>
  <c r="V216" i="10"/>
  <c r="V106" i="7"/>
  <c r="W106" i="7"/>
  <c r="V118" i="14"/>
  <c r="W118" i="14" s="1"/>
  <c r="V103" i="12"/>
  <c r="W103" i="12" s="1"/>
  <c r="S98" i="13"/>
  <c r="T98" i="13"/>
  <c r="W157" i="10"/>
  <c r="V157" i="10"/>
  <c r="G152" i="10"/>
  <c r="W245" i="13"/>
  <c r="S265" i="10"/>
  <c r="T265" i="10" s="1"/>
  <c r="S270" i="6"/>
  <c r="T270" i="6" s="1"/>
  <c r="S139" i="7"/>
  <c r="T139" i="7"/>
  <c r="S151" i="7"/>
  <c r="T151" i="7"/>
  <c r="V173" i="7"/>
  <c r="W173" i="7"/>
  <c r="G183" i="7"/>
  <c r="Z134" i="4"/>
  <c r="Y134" i="4"/>
  <c r="G270" i="6"/>
  <c r="V131" i="5"/>
  <c r="W131" i="5" s="1"/>
  <c r="V265" i="10"/>
  <c r="W265" i="10" s="1"/>
  <c r="V189" i="11"/>
  <c r="W189" i="11" s="1"/>
  <c r="S237" i="12"/>
  <c r="T237" i="12" s="1"/>
  <c r="W184" i="5"/>
  <c r="V184" i="5"/>
  <c r="G194" i="11"/>
  <c r="V203" i="6"/>
  <c r="W203" i="6"/>
  <c r="V209" i="12"/>
  <c r="W209" i="12" s="1"/>
  <c r="V132" i="3"/>
  <c r="W132" i="3" s="1"/>
  <c r="I106" i="4"/>
  <c r="V255" i="13"/>
  <c r="W255" i="13" s="1"/>
  <c r="W213" i="13"/>
  <c r="V213" i="13"/>
  <c r="G100" i="11"/>
  <c r="V213" i="2"/>
  <c r="W213" i="2"/>
  <c r="F178" i="12"/>
  <c r="V100" i="3"/>
  <c r="W100" i="3" s="1"/>
  <c r="G99" i="11"/>
  <c r="W207" i="14"/>
  <c r="V145" i="7"/>
  <c r="W145" i="7"/>
  <c r="W164" i="3"/>
  <c r="I110" i="4"/>
  <c r="V164" i="3"/>
  <c r="S267" i="7"/>
  <c r="T267" i="7" s="1"/>
  <c r="S222" i="13"/>
  <c r="T222" i="13" s="1"/>
  <c r="S255" i="13"/>
  <c r="T255" i="13" s="1"/>
  <c r="S160" i="14"/>
  <c r="T160" i="14"/>
  <c r="W171" i="11"/>
  <c r="V171" i="11"/>
  <c r="G176" i="11"/>
  <c r="S179" i="10"/>
  <c r="T179" i="10" s="1"/>
  <c r="V243" i="14"/>
  <c r="W243" i="14" s="1"/>
  <c r="G257" i="14"/>
  <c r="S99" i="11"/>
  <c r="T99" i="11" s="1"/>
  <c r="Y168" i="4"/>
  <c r="Z168" i="4"/>
  <c r="W138" i="2"/>
  <c r="V138" i="2"/>
  <c r="G133" i="2"/>
  <c r="S207" i="5"/>
  <c r="T207" i="5"/>
  <c r="I132" i="4"/>
  <c r="G232" i="3"/>
  <c r="V227" i="3"/>
  <c r="W227" i="3" s="1"/>
  <c r="V266" i="6"/>
  <c r="W266" i="6" s="1"/>
  <c r="T118" i="7"/>
  <c r="S118" i="7"/>
  <c r="G213" i="11"/>
  <c r="V209" i="11"/>
  <c r="W209" i="11" s="1"/>
  <c r="W246" i="11"/>
  <c r="G252" i="11"/>
  <c r="S139" i="11"/>
  <c r="T139" i="11" s="1"/>
  <c r="F164" i="13"/>
  <c r="T109" i="13"/>
  <c r="S109" i="13"/>
  <c r="S193" i="11"/>
  <c r="T193" i="11" s="1"/>
  <c r="V212" i="6"/>
  <c r="W212" i="6" s="1"/>
  <c r="F167" i="14"/>
  <c r="V204" i="13"/>
  <c r="W204" i="13" s="1"/>
  <c r="V231" i="14"/>
  <c r="W231" i="14" s="1"/>
  <c r="V134" i="10"/>
  <c r="W134" i="10" s="1"/>
  <c r="V176" i="2"/>
  <c r="W176" i="2" s="1"/>
  <c r="V176" i="13"/>
  <c r="W176" i="13" s="1"/>
  <c r="V197" i="14"/>
  <c r="W197" i="14" s="1"/>
  <c r="V154" i="14"/>
  <c r="W154" i="14"/>
  <c r="W158" i="5"/>
  <c r="V158" i="5"/>
  <c r="V101" i="12"/>
  <c r="W101" i="12" s="1"/>
  <c r="W98" i="3"/>
  <c r="V267" i="7"/>
  <c r="W267" i="7" s="1"/>
  <c r="V226" i="6"/>
  <c r="V148" i="14"/>
  <c r="W148" i="14"/>
  <c r="V109" i="13"/>
  <c r="W109" i="13"/>
  <c r="V106" i="14"/>
  <c r="W106" i="14"/>
  <c r="G167" i="14"/>
  <c r="V118" i="12"/>
  <c r="W118" i="12"/>
  <c r="V216" i="14"/>
  <c r="S103" i="12"/>
  <c r="T103" i="12" s="1"/>
  <c r="T127" i="11"/>
  <c r="S127" i="11"/>
  <c r="S273" i="5"/>
  <c r="T273" i="5" s="1"/>
  <c r="S101" i="14"/>
  <c r="T101" i="14"/>
  <c r="G124" i="7"/>
  <c r="W125" i="7"/>
  <c r="T159" i="6"/>
  <c r="S159" i="6"/>
  <c r="F172" i="6"/>
  <c r="W190" i="2"/>
  <c r="V190" i="2"/>
  <c r="G194" i="2"/>
  <c r="G195" i="2"/>
  <c r="W95" i="6"/>
  <c r="G99" i="6"/>
  <c r="V95" i="6"/>
  <c r="G100" i="6"/>
  <c r="V273" i="5"/>
  <c r="W273" i="5" s="1"/>
  <c r="S194" i="11"/>
  <c r="T194" i="11" s="1"/>
  <c r="I172" i="4"/>
  <c r="V243" i="5"/>
  <c r="W243" i="5" s="1"/>
  <c r="V159" i="6"/>
  <c r="W159" i="6"/>
  <c r="W172" i="11"/>
  <c r="V172" i="11"/>
  <c r="V199" i="7"/>
  <c r="W199" i="7" s="1"/>
  <c r="J126" i="4"/>
  <c r="S204" i="11"/>
  <c r="T204" i="11" s="1"/>
  <c r="S121" i="11"/>
  <c r="T121" i="11" s="1"/>
  <c r="W181" i="13"/>
  <c r="G195" i="13"/>
  <c r="G192" i="13"/>
  <c r="W130" i="13"/>
  <c r="G127" i="13"/>
  <c r="G164" i="13" s="1"/>
  <c r="V183" i="11"/>
  <c r="W183" i="11" s="1"/>
  <c r="G193" i="11"/>
  <c r="G195" i="11"/>
  <c r="Y152" i="4"/>
  <c r="Z152" i="4"/>
  <c r="V124" i="14"/>
  <c r="W124" i="14" s="1"/>
  <c r="V98" i="6"/>
  <c r="W98" i="6" s="1"/>
  <c r="V228" i="2"/>
  <c r="W228" i="2"/>
  <c r="G229" i="6"/>
  <c r="W106" i="12"/>
  <c r="V106" i="12"/>
  <c r="W157" i="2"/>
  <c r="V210" i="12"/>
  <c r="W210" i="12" s="1"/>
  <c r="V130" i="14"/>
  <c r="W130" i="14" s="1"/>
  <c r="G165" i="10"/>
  <c r="V198" i="14"/>
  <c r="W198" i="14" s="1"/>
  <c r="W98" i="11"/>
  <c r="V98" i="11"/>
  <c r="W164" i="5"/>
  <c r="V164" i="5"/>
  <c r="V121" i="2"/>
  <c r="W121" i="2"/>
  <c r="I101" i="4"/>
  <c r="V103" i="3"/>
  <c r="W103" i="3" s="1"/>
  <c r="V136" i="14"/>
  <c r="W136" i="14" s="1"/>
  <c r="V221" i="6"/>
  <c r="W221" i="6" s="1"/>
  <c r="W171" i="12"/>
  <c r="V171" i="12"/>
  <c r="V153" i="12"/>
  <c r="W153" i="12"/>
  <c r="G172" i="6"/>
  <c r="V215" i="3"/>
  <c r="W215" i="3" s="1"/>
  <c r="W152" i="3" l="1"/>
  <c r="W99" i="3"/>
  <c r="G171" i="3"/>
  <c r="V171" i="3" s="1"/>
  <c r="W171" i="3" s="1"/>
  <c r="I108" i="4"/>
  <c r="I123" i="4"/>
  <c r="V126" i="3"/>
  <c r="W126" i="3" s="1"/>
  <c r="W239" i="3"/>
  <c r="V103" i="4"/>
  <c r="W103" i="4" s="1"/>
  <c r="I102" i="4"/>
  <c r="J102" i="4" s="1"/>
  <c r="G5" i="9" s="1"/>
  <c r="V114" i="3"/>
  <c r="W114" i="3"/>
  <c r="S124" i="7"/>
  <c r="T124" i="7" s="1"/>
  <c r="V101" i="14"/>
  <c r="W101" i="14"/>
  <c r="W115" i="5"/>
  <c r="V115" i="5"/>
  <c r="V109" i="2"/>
  <c r="W109" i="2" s="1"/>
  <c r="V192" i="2"/>
  <c r="W192" i="2"/>
  <c r="V145" i="2"/>
  <c r="W145" i="2"/>
  <c r="V103" i="14"/>
  <c r="W103" i="14"/>
  <c r="I109" i="4"/>
  <c r="V165" i="12"/>
  <c r="W165" i="12" s="1"/>
  <c r="V244" i="12"/>
  <c r="W244" i="12" s="1"/>
  <c r="W219" i="5"/>
  <c r="G164" i="2"/>
  <c r="V164" i="2" s="1"/>
  <c r="W164" i="2" s="1"/>
  <c r="W112" i="14"/>
  <c r="V112" i="14"/>
  <c r="V129" i="4"/>
  <c r="W129" i="4" s="1"/>
  <c r="V108" i="3"/>
  <c r="W108" i="3" s="1"/>
  <c r="W157" i="11"/>
  <c r="V157" i="11"/>
  <c r="W224" i="3"/>
  <c r="V224" i="3"/>
  <c r="W151" i="13"/>
  <c r="V151" i="13"/>
  <c r="V102" i="14"/>
  <c r="W102" i="14" s="1"/>
  <c r="V197" i="10"/>
  <c r="W197" i="10" s="1"/>
  <c r="W103" i="10"/>
  <c r="V103" i="10"/>
  <c r="V221" i="2"/>
  <c r="W221" i="2" s="1"/>
  <c r="V98" i="2"/>
  <c r="W98" i="2"/>
  <c r="V151" i="2"/>
  <c r="W151" i="2"/>
  <c r="V219" i="12"/>
  <c r="W219" i="12" s="1"/>
  <c r="W151" i="11"/>
  <c r="V151" i="11"/>
  <c r="V147" i="12"/>
  <c r="W147" i="12" s="1"/>
  <c r="V252" i="2"/>
  <c r="W252" i="2" s="1"/>
  <c r="G178" i="12"/>
  <c r="V178" i="12" s="1"/>
  <c r="W178" i="12" s="1"/>
  <c r="I193" i="4"/>
  <c r="J193" i="4" s="1"/>
  <c r="I148" i="4"/>
  <c r="V148" i="4" s="1"/>
  <c r="W148" i="4" s="1"/>
  <c r="V109" i="10"/>
  <c r="W109" i="10" s="1"/>
  <c r="I82" i="4"/>
  <c r="V82" i="4" s="1"/>
  <c r="W82" i="4" s="1"/>
  <c r="V139" i="7"/>
  <c r="W139" i="7"/>
  <c r="V207" i="10"/>
  <c r="W207" i="10"/>
  <c r="V193" i="2"/>
  <c r="W193" i="2"/>
  <c r="V204" i="3"/>
  <c r="W204" i="3"/>
  <c r="W145" i="11"/>
  <c r="V145" i="11"/>
  <c r="V145" i="13"/>
  <c r="W145" i="13"/>
  <c r="W158" i="10"/>
  <c r="V158" i="10"/>
  <c r="V124" i="12"/>
  <c r="W124" i="12"/>
  <c r="V221" i="11"/>
  <c r="W221" i="11" s="1"/>
  <c r="W98" i="13"/>
  <c r="V98" i="13"/>
  <c r="V101" i="7"/>
  <c r="W101" i="7" s="1"/>
  <c r="S177" i="5"/>
  <c r="T177" i="5" s="1"/>
  <c r="W189" i="5"/>
  <c r="W206" i="5"/>
  <c r="V206" i="5"/>
  <c r="J129" i="4"/>
  <c r="Y129" i="4" s="1"/>
  <c r="Z129" i="4" s="1"/>
  <c r="V208" i="5"/>
  <c r="W208" i="5"/>
  <c r="V152" i="5"/>
  <c r="W152" i="5" s="1"/>
  <c r="V99" i="5"/>
  <c r="W99" i="5" s="1"/>
  <c r="V205" i="5"/>
  <c r="W205" i="5"/>
  <c r="V121" i="5"/>
  <c r="W121" i="5"/>
  <c r="G177" i="5"/>
  <c r="V177" i="5" s="1"/>
  <c r="V127" i="5"/>
  <c r="W127" i="5" s="1"/>
  <c r="W98" i="5"/>
  <c r="V98" i="5"/>
  <c r="V164" i="13"/>
  <c r="W164" i="13"/>
  <c r="V172" i="6"/>
  <c r="W172" i="6" s="1"/>
  <c r="S170" i="7"/>
  <c r="T170" i="7" s="1"/>
  <c r="V193" i="11"/>
  <c r="W193" i="11"/>
  <c r="Y126" i="4"/>
  <c r="Z126" i="4" s="1"/>
  <c r="V100" i="6"/>
  <c r="W100" i="6" s="1"/>
  <c r="V195" i="2"/>
  <c r="W195" i="2" s="1"/>
  <c r="I139" i="4"/>
  <c r="S172" i="6"/>
  <c r="T172" i="6" s="1"/>
  <c r="V124" i="7"/>
  <c r="W124" i="7" s="1"/>
  <c r="I104" i="4"/>
  <c r="V167" i="14"/>
  <c r="W167" i="14" s="1"/>
  <c r="V132" i="4"/>
  <c r="W132" i="4" s="1"/>
  <c r="V99" i="11"/>
  <c r="W99" i="11" s="1"/>
  <c r="C6" i="9"/>
  <c r="J6" i="9"/>
  <c r="F6" i="9"/>
  <c r="H6" i="9"/>
  <c r="Y103" i="4"/>
  <c r="Z103" i="4" s="1"/>
  <c r="D6" i="9"/>
  <c r="E6" i="9"/>
  <c r="G6" i="9"/>
  <c r="B6" i="9"/>
  <c r="V270" i="6"/>
  <c r="W270" i="6" s="1"/>
  <c r="G170" i="7"/>
  <c r="V228" i="12"/>
  <c r="W228" i="12" s="1"/>
  <c r="V101" i="4"/>
  <c r="W101" i="4" s="1"/>
  <c r="J101" i="4"/>
  <c r="V165" i="10"/>
  <c r="W165" i="10" s="1"/>
  <c r="V229" i="6"/>
  <c r="W229" i="6" s="1"/>
  <c r="W192" i="13"/>
  <c r="V192" i="13"/>
  <c r="J132" i="4"/>
  <c r="V194" i="2"/>
  <c r="W194" i="2" s="1"/>
  <c r="V252" i="11"/>
  <c r="W252" i="11" s="1"/>
  <c r="V213" i="11"/>
  <c r="W213" i="11" s="1"/>
  <c r="I157" i="4"/>
  <c r="V152" i="10"/>
  <c r="W152" i="10"/>
  <c r="V127" i="2"/>
  <c r="W127" i="2" s="1"/>
  <c r="I105" i="4"/>
  <c r="V98" i="10"/>
  <c r="W98" i="10"/>
  <c r="V195" i="13"/>
  <c r="W195" i="13" s="1"/>
  <c r="J172" i="4"/>
  <c r="V172" i="4"/>
  <c r="W172" i="4" s="1"/>
  <c r="V99" i="6"/>
  <c r="W99" i="6" s="1"/>
  <c r="V123" i="4"/>
  <c r="W123" i="4" s="1"/>
  <c r="J123" i="4"/>
  <c r="S164" i="13"/>
  <c r="T164" i="13" s="1"/>
  <c r="V232" i="3"/>
  <c r="W232" i="3" s="1"/>
  <c r="I165" i="4"/>
  <c r="V257" i="14"/>
  <c r="W257" i="14" s="1"/>
  <c r="J110" i="4"/>
  <c r="V110" i="4"/>
  <c r="W110" i="4"/>
  <c r="V100" i="11"/>
  <c r="W100" i="11" s="1"/>
  <c r="V106" i="4"/>
  <c r="W106" i="4" s="1"/>
  <c r="J106" i="4"/>
  <c r="C9" i="9" s="1"/>
  <c r="V99" i="2"/>
  <c r="W99" i="2" s="1"/>
  <c r="I90" i="4"/>
  <c r="V184" i="6"/>
  <c r="W184" i="6" s="1"/>
  <c r="V139" i="11"/>
  <c r="W139" i="11" s="1"/>
  <c r="I107" i="4"/>
  <c r="V204" i="11"/>
  <c r="W204" i="11" s="1"/>
  <c r="S164" i="11"/>
  <c r="T164" i="11" s="1"/>
  <c r="V195" i="11"/>
  <c r="W195" i="11" s="1"/>
  <c r="V127" i="13"/>
  <c r="W127" i="13" s="1"/>
  <c r="S167" i="14"/>
  <c r="T167" i="14" s="1"/>
  <c r="W133" i="2"/>
  <c r="V133" i="2"/>
  <c r="V176" i="11"/>
  <c r="W176" i="11" s="1"/>
  <c r="S178" i="12"/>
  <c r="T178" i="12" s="1"/>
  <c r="V194" i="11"/>
  <c r="W194" i="11" s="1"/>
  <c r="V183" i="7"/>
  <c r="W183" i="7" s="1"/>
  <c r="K6" i="9"/>
  <c r="V100" i="2"/>
  <c r="W100" i="2" s="1"/>
  <c r="V237" i="12"/>
  <c r="W237" i="12" s="1"/>
  <c r="V121" i="11"/>
  <c r="W121" i="11" s="1"/>
  <c r="G164" i="11"/>
  <c r="V100" i="10"/>
  <c r="W100" i="10" s="1"/>
  <c r="D5" i="9"/>
  <c r="J108" i="4" l="1"/>
  <c r="V108" i="4"/>
  <c r="W108" i="4" s="1"/>
  <c r="J82" i="4"/>
  <c r="Y82" i="4" s="1"/>
  <c r="Z82" i="4" s="1"/>
  <c r="I5" i="9"/>
  <c r="B5" i="9"/>
  <c r="F5" i="9"/>
  <c r="K5" i="9"/>
  <c r="J5" i="9"/>
  <c r="H5" i="9"/>
  <c r="E5" i="9"/>
  <c r="C5" i="9"/>
  <c r="Y102" i="4"/>
  <c r="Z102" i="4" s="1"/>
  <c r="V102" i="4"/>
  <c r="W102" i="4" s="1"/>
  <c r="J148" i="4"/>
  <c r="Y148" i="4" s="1"/>
  <c r="Z148" i="4" s="1"/>
  <c r="J109" i="4"/>
  <c r="V109" i="4"/>
  <c r="W109" i="4" s="1"/>
  <c r="W177" i="5"/>
  <c r="I112" i="4"/>
  <c r="J112" i="4" s="1"/>
  <c r="J90" i="4"/>
  <c r="V90" i="4"/>
  <c r="W90" i="4" s="1"/>
  <c r="I98" i="4"/>
  <c r="E13" i="9"/>
  <c r="Y110" i="4"/>
  <c r="Z110" i="4"/>
  <c r="D13" i="9"/>
  <c r="H13" i="9"/>
  <c r="J13" i="9"/>
  <c r="K13" i="9"/>
  <c r="G13" i="9"/>
  <c r="C13" i="9"/>
  <c r="I13" i="9"/>
  <c r="F13" i="9"/>
  <c r="B13" i="9"/>
  <c r="V157" i="4"/>
  <c r="W157" i="4" s="1"/>
  <c r="J157" i="4"/>
  <c r="V170" i="7"/>
  <c r="W170" i="7" s="1"/>
  <c r="V164" i="11"/>
  <c r="W164" i="11" s="1"/>
  <c r="J107" i="4"/>
  <c r="V107" i="4"/>
  <c r="W107" i="4" s="1"/>
  <c r="V165" i="4"/>
  <c r="W165" i="4" s="1"/>
  <c r="J165" i="4"/>
  <c r="Y172" i="4"/>
  <c r="Z172" i="4" s="1"/>
  <c r="V139" i="4"/>
  <c r="W139" i="4" s="1"/>
  <c r="J139" i="4"/>
  <c r="H9" i="9"/>
  <c r="I9" i="9"/>
  <c r="Y106" i="4"/>
  <c r="Z106" i="4" s="1"/>
  <c r="J9" i="9"/>
  <c r="E9" i="9"/>
  <c r="F9" i="9"/>
  <c r="B9" i="9"/>
  <c r="K9" i="9"/>
  <c r="D9" i="9"/>
  <c r="G9" i="9"/>
  <c r="Y123" i="4"/>
  <c r="Z123" i="4" s="1"/>
  <c r="J105" i="4"/>
  <c r="V105" i="4"/>
  <c r="W105" i="4" s="1"/>
  <c r="Y132" i="4"/>
  <c r="Z132" i="4" s="1"/>
  <c r="E4" i="9"/>
  <c r="Y101" i="4"/>
  <c r="Z101" i="4" s="1"/>
  <c r="D4" i="9"/>
  <c r="G4" i="9"/>
  <c r="H4" i="9"/>
  <c r="C4" i="9"/>
  <c r="J4" i="9"/>
  <c r="F4" i="9"/>
  <c r="B4" i="9"/>
  <c r="K4" i="9"/>
  <c r="I4" i="9"/>
  <c r="J104" i="4"/>
  <c r="V104" i="4"/>
  <c r="W104" i="4" s="1"/>
  <c r="Y108" i="4" l="1"/>
  <c r="Z108" i="4" s="1"/>
  <c r="E11" i="9"/>
  <c r="K11" i="9"/>
  <c r="B11" i="9"/>
  <c r="G11" i="9"/>
  <c r="F11" i="9"/>
  <c r="D11" i="9"/>
  <c r="H11" i="9"/>
  <c r="C11" i="9"/>
  <c r="J11" i="9"/>
  <c r="I11" i="9"/>
  <c r="Y109" i="4"/>
  <c r="Z109" i="4" s="1"/>
  <c r="B12" i="9"/>
  <c r="F12" i="9"/>
  <c r="K12" i="9"/>
  <c r="D12" i="9"/>
  <c r="E12" i="9"/>
  <c r="G12" i="9"/>
  <c r="I12" i="9"/>
  <c r="J12" i="9"/>
  <c r="C12" i="9"/>
  <c r="H12" i="9"/>
  <c r="V112" i="4"/>
  <c r="W112" i="4" s="1"/>
  <c r="Y139" i="4"/>
  <c r="Z139" i="4" s="1"/>
  <c r="G8" i="9"/>
  <c r="I8" i="9"/>
  <c r="E8" i="9"/>
  <c r="D8" i="9"/>
  <c r="Y105" i="4"/>
  <c r="Z105" i="4" s="1"/>
  <c r="B8" i="9"/>
  <c r="F8" i="9"/>
  <c r="H8" i="9"/>
  <c r="K8" i="9"/>
  <c r="C8" i="9"/>
  <c r="J8" i="9"/>
  <c r="J98" i="4"/>
  <c r="V98" i="4"/>
  <c r="W98" i="4" s="1"/>
  <c r="Y104" i="4"/>
  <c r="Z104" i="4" s="1"/>
  <c r="B7" i="9"/>
  <c r="G7" i="9"/>
  <c r="D7" i="9"/>
  <c r="I7" i="9"/>
  <c r="J7" i="9"/>
  <c r="E7" i="9"/>
  <c r="K7" i="9"/>
  <c r="C7" i="9"/>
  <c r="H7" i="9"/>
  <c r="F7" i="9"/>
  <c r="Y165" i="4"/>
  <c r="Z165" i="4" s="1"/>
  <c r="G10" i="9"/>
  <c r="C10" i="9"/>
  <c r="E10" i="9"/>
  <c r="D10" i="9"/>
  <c r="J10" i="9"/>
  <c r="Y107" i="4"/>
  <c r="Z107" i="4" s="1"/>
  <c r="B10" i="9"/>
  <c r="K10" i="9"/>
  <c r="I10" i="9"/>
  <c r="F10" i="9"/>
  <c r="H10" i="9"/>
  <c r="Y90" i="4"/>
  <c r="Z90" i="4" s="1"/>
  <c r="Y112" i="4"/>
  <c r="Z112" i="4" s="1"/>
  <c r="Y157" i="4"/>
  <c r="Z157" i="4" s="1"/>
  <c r="Y98" i="4" l="1"/>
  <c r="Z98" i="4" s="1"/>
  <c r="I175" i="4"/>
  <c r="J175" i="4"/>
  <c r="I177" i="4"/>
  <c r="J177" i="4"/>
  <c r="V177" i="4"/>
  <c r="W177" i="4"/>
  <c r="Y177" i="4"/>
  <c r="Z177" i="4"/>
  <c r="U193" i="4"/>
  <c r="V193" i="4"/>
  <c r="W193" i="4"/>
  <c r="X193" i="4"/>
  <c r="Y193" i="4"/>
  <c r="Z193" i="4"/>
  <c r="I194" i="4"/>
  <c r="J194" i="4"/>
  <c r="I196" i="4"/>
  <c r="J196" i="4"/>
  <c r="I198" i="4"/>
  <c r="J198" i="4"/>
  <c r="E242" i="3"/>
  <c r="F242" i="3"/>
  <c r="G242" i="3"/>
  <c r="F244" i="3"/>
  <c r="G244" i="3"/>
  <c r="F246" i="3"/>
  <c r="G246" i="3"/>
  <c r="S246" i="3"/>
  <c r="T246" i="3"/>
  <c r="V246" i="3"/>
  <c r="W246" i="3"/>
  <c r="F265" i="3"/>
  <c r="G265" i="3"/>
  <c r="F267" i="3"/>
  <c r="G267" i="3"/>
  <c r="F268" i="3"/>
  <c r="G268" i="3"/>
  <c r="F270" i="3"/>
  <c r="G270" i="3"/>
  <c r="F271" i="3"/>
  <c r="G271" i="3"/>
  <c r="E231" i="2"/>
  <c r="F231" i="2"/>
  <c r="G231" i="2"/>
  <c r="F233" i="2"/>
  <c r="G233" i="2"/>
  <c r="F236" i="2"/>
  <c r="G236" i="2"/>
  <c r="S236" i="2"/>
  <c r="T236" i="2"/>
  <c r="V236" i="2"/>
  <c r="W236" i="2"/>
  <c r="F253" i="2"/>
  <c r="G253" i="2"/>
  <c r="F255" i="2"/>
  <c r="G255" i="2"/>
  <c r="F257" i="2"/>
  <c r="G257" i="2"/>
  <c r="E246" i="5"/>
  <c r="F246" i="5"/>
  <c r="G246" i="5"/>
  <c r="F248" i="5"/>
  <c r="G248" i="5"/>
  <c r="F251" i="5"/>
  <c r="G251" i="5"/>
  <c r="S251" i="5"/>
  <c r="T251" i="5"/>
  <c r="V251" i="5"/>
  <c r="W251" i="5"/>
  <c r="F274" i="5"/>
  <c r="G274" i="5"/>
  <c r="F276" i="5"/>
  <c r="G276" i="5"/>
  <c r="F278" i="5"/>
  <c r="G278" i="5"/>
  <c r="E239" i="6"/>
  <c r="F239" i="6"/>
  <c r="G239" i="6"/>
  <c r="F241" i="6"/>
  <c r="G241" i="6"/>
  <c r="F244" i="6"/>
  <c r="G244" i="6"/>
  <c r="S244" i="6"/>
  <c r="T244" i="6"/>
  <c r="V244" i="6"/>
  <c r="W244" i="6"/>
  <c r="F271" i="6"/>
  <c r="G271" i="6"/>
  <c r="F273" i="6"/>
  <c r="G273" i="6"/>
  <c r="F275" i="6"/>
  <c r="G275" i="6"/>
  <c r="E239" i="7"/>
  <c r="F239" i="7"/>
  <c r="G239" i="7"/>
  <c r="F241" i="7"/>
  <c r="G241" i="7"/>
  <c r="F244" i="7"/>
  <c r="G244" i="7"/>
  <c r="S244" i="7"/>
  <c r="T244" i="7"/>
  <c r="V244" i="7"/>
  <c r="W244" i="7"/>
  <c r="F268" i="7"/>
  <c r="G268" i="7"/>
  <c r="F270" i="7"/>
  <c r="G270" i="7"/>
  <c r="F272" i="7"/>
  <c r="G272" i="7"/>
  <c r="I200" i="10"/>
  <c r="E234" i="10"/>
  <c r="F234" i="10"/>
  <c r="G234" i="10"/>
  <c r="F236" i="10"/>
  <c r="G236" i="10"/>
  <c r="F239" i="10"/>
  <c r="G239" i="10"/>
  <c r="S239" i="10"/>
  <c r="T239" i="10"/>
  <c r="V239" i="10"/>
  <c r="W239" i="10"/>
  <c r="F266" i="10"/>
  <c r="G266" i="10"/>
  <c r="F268" i="10"/>
  <c r="G268" i="10"/>
  <c r="F270" i="10"/>
  <c r="G270" i="10"/>
  <c r="E231" i="11"/>
  <c r="F231" i="11"/>
  <c r="G231" i="11"/>
  <c r="F233" i="11"/>
  <c r="G233" i="11"/>
  <c r="F236" i="11"/>
  <c r="G236" i="11"/>
  <c r="S236" i="11"/>
  <c r="T236" i="11"/>
  <c r="V236" i="11"/>
  <c r="W236" i="11"/>
  <c r="F253" i="11"/>
  <c r="G253" i="11"/>
  <c r="F255" i="11"/>
  <c r="G255" i="11"/>
  <c r="F257" i="11"/>
  <c r="G257" i="11"/>
  <c r="E247" i="12"/>
  <c r="F247" i="12"/>
  <c r="G247" i="12"/>
  <c r="F249" i="12"/>
  <c r="G249" i="12"/>
  <c r="F251" i="12"/>
  <c r="G251" i="12"/>
  <c r="S251" i="12"/>
  <c r="T251" i="12"/>
  <c r="V251" i="12"/>
  <c r="W251" i="12"/>
  <c r="F268" i="12"/>
  <c r="G268" i="12"/>
  <c r="F270" i="12"/>
  <c r="G270" i="12"/>
  <c r="F272" i="12"/>
  <c r="G272" i="12"/>
  <c r="E232" i="13"/>
  <c r="F232" i="13"/>
  <c r="G232" i="13"/>
  <c r="F234" i="13"/>
  <c r="G234" i="13"/>
  <c r="F236" i="13"/>
  <c r="G236" i="13"/>
  <c r="S236" i="13"/>
  <c r="T236" i="13"/>
  <c r="V236" i="13"/>
  <c r="W236" i="13"/>
  <c r="F256" i="13"/>
  <c r="G256" i="13"/>
  <c r="F258" i="13"/>
  <c r="G258" i="13"/>
  <c r="F260" i="13"/>
  <c r="G260" i="13"/>
  <c r="E234" i="14"/>
  <c r="F234" i="14"/>
  <c r="G234" i="14"/>
  <c r="F236" i="14"/>
  <c r="G236" i="14"/>
  <c r="F238" i="14"/>
  <c r="G238" i="14"/>
  <c r="S238" i="14"/>
  <c r="T238" i="14"/>
  <c r="V238" i="14"/>
  <c r="W238" i="14"/>
  <c r="F258" i="14"/>
  <c r="G258" i="14"/>
  <c r="F260" i="14"/>
  <c r="G260" i="14"/>
  <c r="F262" i="14"/>
  <c r="G262" i="14"/>
  <c r="B17" i="9"/>
  <c r="C17" i="9"/>
  <c r="D17" i="9"/>
  <c r="E17" i="9"/>
  <c r="F17" i="9"/>
  <c r="G17" i="9"/>
  <c r="H17" i="9"/>
  <c r="I17" i="9"/>
  <c r="J17" i="9"/>
  <c r="K17" i="9"/>
</calcChain>
</file>

<file path=xl/sharedStrings.xml><?xml version="1.0" encoding="utf-8"?>
<sst xmlns="http://schemas.openxmlformats.org/spreadsheetml/2006/main" count="4491" uniqueCount="868">
  <si>
    <t>Unit Cost</t>
  </si>
  <si>
    <t>Unit</t>
  </si>
  <si>
    <t>Units</t>
  </si>
  <si>
    <t>TOTAL INCOME</t>
  </si>
  <si>
    <t>USD</t>
  </si>
  <si>
    <t>Budget</t>
  </si>
  <si>
    <t>EXPENDITURE</t>
  </si>
  <si>
    <t>Warehousing</t>
  </si>
  <si>
    <t>Handling</t>
  </si>
  <si>
    <t xml:space="preserve">Staff salaries </t>
  </si>
  <si>
    <t>EXCHANGE RATE: local currency to 1 USD</t>
  </si>
  <si>
    <t>Computers and accessories</t>
  </si>
  <si>
    <t>Printers</t>
  </si>
  <si>
    <t>Office Furniture</t>
  </si>
  <si>
    <t xml:space="preserve">Vehicles </t>
  </si>
  <si>
    <t>PROPOSED DISPOSITION OF CAPITAL ASSETS at Completion date</t>
  </si>
  <si>
    <t xml:space="preserve">ITEM - (List each over US$500) </t>
  </si>
  <si>
    <t>Disposition</t>
  </si>
  <si>
    <t>e.g.</t>
  </si>
  <si>
    <t>Transport (of relief materials)</t>
  </si>
  <si>
    <t>local currency</t>
  </si>
  <si>
    <r>
      <t xml:space="preserve">INCOME - </t>
    </r>
    <r>
      <rPr>
        <b/>
        <sz val="9"/>
        <rFont val="Arial"/>
        <family val="2"/>
      </rPr>
      <t>Received by Requesting Member via ACT Secretariat, Geneva</t>
    </r>
  </si>
  <si>
    <r>
      <t xml:space="preserve">INCOME- FIRM PLEDGES </t>
    </r>
    <r>
      <rPr>
        <b/>
        <sz val="9"/>
        <rFont val="Arial"/>
        <family val="2"/>
      </rPr>
      <t>(made both through ACT Secretariat and directly)</t>
    </r>
  </si>
  <si>
    <t>Requesting ACT member:</t>
  </si>
  <si>
    <t>BALANCE REQUESTED (minus available income)</t>
  </si>
  <si>
    <t>Budget rate</t>
  </si>
  <si>
    <t xml:space="preserve"> Actual cost</t>
  </si>
  <si>
    <t>Type of</t>
  </si>
  <si>
    <t>No. of</t>
  </si>
  <si>
    <t>Date</t>
  </si>
  <si>
    <t>Donor Name</t>
  </si>
  <si>
    <r>
      <t xml:space="preserve">INCOME - </t>
    </r>
    <r>
      <rPr>
        <b/>
        <sz val="9"/>
        <rFont val="Arial"/>
        <family val="2"/>
      </rPr>
      <t>Cash received directly from donors</t>
    </r>
  </si>
  <si>
    <r>
      <t>INCOME -</t>
    </r>
    <r>
      <rPr>
        <b/>
        <sz val="9"/>
        <rFont val="Arial"/>
        <family val="2"/>
      </rPr>
      <t xml:space="preserve"> In-kind donations received</t>
    </r>
  </si>
  <si>
    <t>Salaries e. g % for Programme Director)</t>
  </si>
  <si>
    <t>Salaries e. g % for Finance Director)</t>
  </si>
  <si>
    <t>Office Operations</t>
  </si>
  <si>
    <t>Office rent</t>
  </si>
  <si>
    <t>Office Utilities</t>
  </si>
  <si>
    <t>Office stationery</t>
  </si>
  <si>
    <t xml:space="preserve">Communications </t>
  </si>
  <si>
    <t>Telephone and fax</t>
  </si>
  <si>
    <t xml:space="preserve">Other </t>
  </si>
  <si>
    <t>Insurance</t>
  </si>
  <si>
    <t>INCOME</t>
  </si>
  <si>
    <t>Hire/ Rental of Vehicles</t>
  </si>
  <si>
    <t>Fuel</t>
  </si>
  <si>
    <t>Rental of warehouse</t>
  </si>
  <si>
    <t>Wages for Security/ Guards</t>
  </si>
  <si>
    <t>Needs Assessment</t>
  </si>
  <si>
    <t xml:space="preserve">TOTAL DIRECT COST </t>
  </si>
  <si>
    <t>Salaries / wages for labourers</t>
  </si>
  <si>
    <t>Salaries / wages for Drivers</t>
  </si>
  <si>
    <t xml:space="preserve">Implementing Period: </t>
  </si>
  <si>
    <t>Education</t>
  </si>
  <si>
    <t>Early recovery &amp; livelihood restoration</t>
  </si>
  <si>
    <t>Food security</t>
  </si>
  <si>
    <t>Communications equipment e.g. camera, video camera, sound recording, satellite phone…</t>
  </si>
  <si>
    <t>INDIRECT COSTS: PERSONNEL, ADMINISTRATION &amp; SUPPORT</t>
  </si>
  <si>
    <t>TOTAL INDIRECT COST: PERSONNEL, ADMIN. &amp; SUPPORT</t>
  </si>
  <si>
    <t>Salaries for accountant and other admin or secretarial staff …..)</t>
  </si>
  <si>
    <t>Interest earned</t>
  </si>
  <si>
    <t>Payment advice #</t>
  </si>
  <si>
    <t xml:space="preserve">ACT APPEAL BUDGET FORMAT </t>
  </si>
  <si>
    <t>Appeal Number:</t>
  </si>
  <si>
    <t>Appeal Title:</t>
  </si>
  <si>
    <t>Appeal</t>
  </si>
  <si>
    <t>Shelter and settlement / Non-food items</t>
  </si>
  <si>
    <t>Water, sanitation &amp; hygiene (WASH)</t>
  </si>
  <si>
    <t>Health / Nutrition</t>
  </si>
  <si>
    <t>Protection / Psychosocial support</t>
  </si>
  <si>
    <t>Emergency Preparedness / Resilience</t>
  </si>
  <si>
    <t>SECURITY</t>
  </si>
  <si>
    <t>Material resources</t>
  </si>
  <si>
    <t xml:space="preserve">Human resources </t>
  </si>
  <si>
    <t>Security trainings</t>
  </si>
  <si>
    <t xml:space="preserve">Site enhancements </t>
  </si>
  <si>
    <t>TOTAL SECURITY</t>
  </si>
  <si>
    <t>DIRECT COSTS</t>
  </si>
  <si>
    <t>PROGRAM STAFF</t>
  </si>
  <si>
    <t>TOTAL PROGRAM STAFF</t>
  </si>
  <si>
    <t>1.2.</t>
  </si>
  <si>
    <t>Appeal Lead</t>
  </si>
  <si>
    <t>1.3.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</si>
  <si>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</si>
  <si>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</si>
  <si>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</si>
  <si>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</si>
  <si>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</si>
  <si>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</si>
  <si>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</si>
  <si>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</si>
  <si>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</si>
  <si>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</si>
  <si>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PROGRAM ACTIVITIES</t>
  </si>
  <si>
    <t>2.1.</t>
  </si>
  <si>
    <t>2.2.</t>
  </si>
  <si>
    <t>2.3.</t>
  </si>
  <si>
    <t>2.4.</t>
  </si>
  <si>
    <t>2.5.</t>
  </si>
  <si>
    <t xml:space="preserve">2.6. </t>
  </si>
  <si>
    <t xml:space="preserve">2.7. </t>
  </si>
  <si>
    <t>2.8.</t>
  </si>
  <si>
    <t>2.9.</t>
  </si>
  <si>
    <t>2.10.</t>
  </si>
  <si>
    <t>International program staff</t>
  </si>
  <si>
    <t>National program staff</t>
  </si>
  <si>
    <t>Rapid Support Team (ACT FAST)</t>
  </si>
  <si>
    <t>PROGRAM LOGISTICS</t>
  </si>
  <si>
    <t>TOTAL PROGRAM IMPLEMENTATION</t>
  </si>
  <si>
    <t>TOTAL PROGRAM LOGISTICS</t>
  </si>
  <si>
    <t>Local Partners</t>
  </si>
  <si>
    <t>PROGRAM ASSETS &amp; EQUIPMENT</t>
  </si>
  <si>
    <t>TOTAL PROGRAM ASSETS &amp; EQUIPMENT</t>
  </si>
  <si>
    <t>OTHER PROGRAM COSTS</t>
  </si>
  <si>
    <t>6.1.</t>
  </si>
  <si>
    <t>6.1.1.</t>
  </si>
  <si>
    <t>6.1.2.</t>
  </si>
  <si>
    <t>6.1.3.</t>
  </si>
  <si>
    <t>6.1.4.</t>
  </si>
  <si>
    <t>6.2.</t>
  </si>
  <si>
    <t>6.2.1.</t>
  </si>
  <si>
    <t>6.2.2.</t>
  </si>
  <si>
    <t>6.2.3.</t>
  </si>
  <si>
    <t>6.2.4.</t>
  </si>
  <si>
    <t>TOTAL PROGRAM ACTIVITIES</t>
  </si>
  <si>
    <t>travel</t>
  </si>
  <si>
    <t>accomodation</t>
  </si>
  <si>
    <t>PROGRAM IMPLEMENTATION</t>
  </si>
  <si>
    <t>Visibility / fundraising</t>
  </si>
  <si>
    <t>Kick-start workshop</t>
  </si>
  <si>
    <t>Mid-review workshop</t>
  </si>
  <si>
    <t>Staff trainings</t>
  </si>
  <si>
    <t>3.1.</t>
  </si>
  <si>
    <t xml:space="preserve">3.2. </t>
  </si>
  <si>
    <t>3.3.</t>
  </si>
  <si>
    <t>3.4.</t>
  </si>
  <si>
    <t>3.5.</t>
  </si>
  <si>
    <t>3.6.</t>
  </si>
  <si>
    <t>3.7.</t>
  </si>
  <si>
    <t>Monitoring &amp; evaluation</t>
  </si>
  <si>
    <t>Baseline / endline Assessment</t>
  </si>
  <si>
    <t>Complaint mechanisms / information sharing</t>
  </si>
  <si>
    <t xml:space="preserve">4.1. </t>
  </si>
  <si>
    <t xml:space="preserve">4.2. </t>
  </si>
  <si>
    <t>4.3.</t>
  </si>
  <si>
    <t>4.4.</t>
  </si>
  <si>
    <t>4.6.</t>
  </si>
  <si>
    <t>4.7.</t>
  </si>
  <si>
    <t>4.8.</t>
  </si>
  <si>
    <t>4.9.</t>
  </si>
  <si>
    <t>4.5.</t>
  </si>
  <si>
    <t>5.1.</t>
  </si>
  <si>
    <t>5.2.</t>
  </si>
  <si>
    <t>5.3.</t>
  </si>
  <si>
    <t>5.4.</t>
  </si>
  <si>
    <t>5.5.</t>
  </si>
  <si>
    <t>STRENGTHENING CAPACITIES</t>
  </si>
  <si>
    <t>6.3.</t>
  </si>
  <si>
    <t>Local members</t>
  </si>
  <si>
    <t>Target beneficiaries</t>
  </si>
  <si>
    <t>Faith communities</t>
  </si>
  <si>
    <t>TOTAL STRENGTHENING CAPACITIES</t>
  </si>
  <si>
    <t>6.3.1.</t>
  </si>
  <si>
    <t>6.3.2.</t>
  </si>
  <si>
    <t>6.3.3.</t>
  </si>
  <si>
    <t>Audit</t>
  </si>
  <si>
    <t>indicate source and date (remains constant throughout lifespan of Appeal)</t>
  </si>
  <si>
    <t>TOTAL</t>
  </si>
  <si>
    <t>Donor code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</si>
  <si>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</si>
  <si>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</si>
  <si>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</si>
  <si>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</si>
  <si>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</si>
  <si>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</si>
  <si>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</si>
  <si>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</si>
  <si>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</si>
  <si>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</si>
  <si>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DONOR CODE</t>
  </si>
  <si>
    <t>cell highlighted in red if above 15%</t>
  </si>
  <si>
    <t>Salaries for Logistician/Procurement Officer</t>
  </si>
  <si>
    <t>Total national program staff</t>
  </si>
  <si>
    <t>Total international program staff</t>
  </si>
  <si>
    <t>Total national</t>
  </si>
  <si>
    <t>Total international</t>
  </si>
  <si>
    <t xml:space="preserve">Total national </t>
  </si>
  <si>
    <t xml:space="preserve">Total international </t>
  </si>
  <si>
    <t>Transport</t>
  </si>
  <si>
    <t>transport</t>
  </si>
  <si>
    <t>Activities</t>
  </si>
  <si>
    <t>% of total budget for activities (USD)</t>
  </si>
  <si>
    <t>% of members' individual expenditures vis-à-vis total expenditures (USD)</t>
  </si>
  <si>
    <t>FORUM COORDINATION</t>
  </si>
  <si>
    <t>TOTAL FORUM COORDINATION</t>
  </si>
  <si>
    <t>2.1.1.</t>
  </si>
  <si>
    <t>2.1.2.</t>
  </si>
  <si>
    <t>2.1.3.</t>
  </si>
  <si>
    <t>2.1.4.</t>
  </si>
  <si>
    <t>2.1.5.</t>
  </si>
  <si>
    <t>2.2.1.</t>
  </si>
  <si>
    <t>2.2.2.</t>
  </si>
  <si>
    <t>2.2.3.</t>
  </si>
  <si>
    <t>2.2.4.</t>
  </si>
  <si>
    <t>2.2.5.</t>
  </si>
  <si>
    <t>2.3.1.</t>
  </si>
  <si>
    <t>2.3.2.</t>
  </si>
  <si>
    <t>2.3.3.</t>
  </si>
  <si>
    <t>2.3.4.</t>
  </si>
  <si>
    <t>2.3.5.</t>
  </si>
  <si>
    <t>2.4.1.</t>
  </si>
  <si>
    <t>2.4.2.</t>
  </si>
  <si>
    <t>2.4.3.</t>
  </si>
  <si>
    <t>2.4.4.</t>
  </si>
  <si>
    <t>2.4.5.</t>
  </si>
  <si>
    <t>2.5.1.</t>
  </si>
  <si>
    <t>2.5.2.</t>
  </si>
  <si>
    <t>2.5.3.</t>
  </si>
  <si>
    <t>2.5.4.</t>
  </si>
  <si>
    <t>2.5.5.</t>
  </si>
  <si>
    <t>2.6.1.</t>
  </si>
  <si>
    <t>2.6.2.</t>
  </si>
  <si>
    <t>2.6.3.</t>
  </si>
  <si>
    <t>2.6.4.</t>
  </si>
  <si>
    <t>2.6.5.</t>
  </si>
  <si>
    <t>2.7.1.</t>
  </si>
  <si>
    <t>2.7.2.</t>
  </si>
  <si>
    <t>2.7.3.</t>
  </si>
  <si>
    <t>2.7.4.</t>
  </si>
  <si>
    <t>2.7.5.</t>
  </si>
  <si>
    <t>2.8.1.</t>
  </si>
  <si>
    <t>2.8.2.</t>
  </si>
  <si>
    <t>2.8.3.</t>
  </si>
  <si>
    <t>2.8.4.</t>
  </si>
  <si>
    <t>2.8.5.</t>
  </si>
  <si>
    <t>2.9.1.</t>
  </si>
  <si>
    <t>2.9.2.</t>
  </si>
  <si>
    <t>2.9.3.</t>
  </si>
  <si>
    <t>2.9.4.</t>
  </si>
  <si>
    <t>2.9.5.</t>
  </si>
  <si>
    <t>2.10.1.</t>
  </si>
  <si>
    <t>2.10.2.</t>
  </si>
  <si>
    <t>2.10.3.</t>
  </si>
  <si>
    <t>2.10.4.</t>
  </si>
  <si>
    <t>2.10.5.</t>
  </si>
  <si>
    <t>3.8.</t>
  </si>
  <si>
    <t>Advocacy</t>
  </si>
  <si>
    <t xml:space="preserve">3.8. </t>
  </si>
  <si>
    <t xml:space="preserve">3.6. </t>
  </si>
  <si>
    <t>Shelter/NFIs item 1</t>
  </si>
  <si>
    <t>Shelter/NFIs item 2</t>
  </si>
  <si>
    <t>Shelter/NFIs item 3</t>
  </si>
  <si>
    <t>Shelter/NFIs item 4</t>
  </si>
  <si>
    <t>Shelter/NFIs item 5</t>
  </si>
  <si>
    <t>FS item 1</t>
  </si>
  <si>
    <t>FS item 5</t>
  </si>
  <si>
    <t>FS item 4</t>
  </si>
  <si>
    <t>FS item 3</t>
  </si>
  <si>
    <t>FS item 2</t>
  </si>
  <si>
    <t>WASH item 1</t>
  </si>
  <si>
    <t>WASH item 2</t>
  </si>
  <si>
    <t>WASH item 3</t>
  </si>
  <si>
    <t>WASH item 4</t>
  </si>
  <si>
    <t>WASH item 5</t>
  </si>
  <si>
    <t>H/N item 1</t>
  </si>
  <si>
    <t>H/N item 2</t>
  </si>
  <si>
    <t>H/N item 3</t>
  </si>
  <si>
    <t>H/N item 4</t>
  </si>
  <si>
    <t>H/N item 5</t>
  </si>
  <si>
    <t>P/PS item 1</t>
  </si>
  <si>
    <t>P/PS item 2</t>
  </si>
  <si>
    <t>P/PS item 3</t>
  </si>
  <si>
    <t>P/PS item 4</t>
  </si>
  <si>
    <t>P/PS item 5</t>
  </si>
  <si>
    <t>ER/L item 1</t>
  </si>
  <si>
    <t>ER/L item 2</t>
  </si>
  <si>
    <t>ER/L item 3</t>
  </si>
  <si>
    <t>ER/L item 4</t>
  </si>
  <si>
    <t>ER/L item 5</t>
  </si>
  <si>
    <t>Education item 1</t>
  </si>
  <si>
    <t>Education item 2</t>
  </si>
  <si>
    <t>Education item 3</t>
  </si>
  <si>
    <t>Education item 4</t>
  </si>
  <si>
    <t>Education item 5</t>
  </si>
  <si>
    <t>DRR item 1</t>
  </si>
  <si>
    <t>DRR item 2</t>
  </si>
  <si>
    <t>DRR item 3</t>
  </si>
  <si>
    <t>DRR item 4</t>
  </si>
  <si>
    <t>DRR item 5</t>
  </si>
  <si>
    <t>Actual</t>
  </si>
  <si>
    <t>Variance</t>
  </si>
  <si>
    <t>%</t>
  </si>
  <si>
    <t>Notes</t>
  </si>
  <si>
    <t>Description</t>
  </si>
  <si>
    <t>Local partners/national members</t>
  </si>
  <si>
    <t>Multipurpose CASH grants</t>
  </si>
  <si>
    <t>Other sector (camp management, etc.)</t>
  </si>
  <si>
    <t>OS item 1</t>
  </si>
  <si>
    <t>CG item 1</t>
  </si>
  <si>
    <t>CG item 2</t>
  </si>
  <si>
    <t>CG item 3</t>
  </si>
  <si>
    <t>CG item 4</t>
  </si>
  <si>
    <t>CG item 5</t>
  </si>
  <si>
    <t>OS item 2</t>
  </si>
  <si>
    <t>OS item 3</t>
  </si>
  <si>
    <t>OS item 4</t>
  </si>
  <si>
    <t>OS item 5</t>
  </si>
  <si>
    <t>Other sectors (camp management)</t>
  </si>
  <si>
    <t>Other sectors (camp management, etc.)</t>
  </si>
  <si>
    <t>Mutlipurpose CASH grants</t>
  </si>
  <si>
    <t>6.4.</t>
  </si>
  <si>
    <t>ACT SECRETARIAT COORDINATION SUPPORT</t>
  </si>
  <si>
    <t>TOTAL COORDINATION SUPPORT</t>
  </si>
  <si>
    <t>SUPPORT BY ACT SECRETARIAT</t>
  </si>
  <si>
    <t>Support to Appeal by ACT Secretariat</t>
  </si>
  <si>
    <t>6.4.1.</t>
  </si>
  <si>
    <t>TOTAL SUPPORT BY ACT SECRETARIAT</t>
  </si>
  <si>
    <t>Other sectors (camp management, demining, etc.)</t>
  </si>
  <si>
    <t xml:space="preserve">TOTAL EXPENDITURE </t>
  </si>
  <si>
    <t>Project Manager</t>
  </si>
  <si>
    <t>Field Coordinator</t>
  </si>
  <si>
    <t>Business Development Manager</t>
  </si>
  <si>
    <t>Month</t>
  </si>
  <si>
    <t>Day</t>
  </si>
  <si>
    <t>School Kits</t>
  </si>
  <si>
    <t>Blankets</t>
  </si>
  <si>
    <t>Parcel</t>
  </si>
  <si>
    <t>Free Medical Days</t>
  </si>
  <si>
    <t xml:space="preserve">Health &amp; Nutrition Session </t>
  </si>
  <si>
    <t>Medical Referrals</t>
  </si>
  <si>
    <t>Mother Support Groups</t>
  </si>
  <si>
    <t>Training</t>
  </si>
  <si>
    <t>Referral</t>
  </si>
  <si>
    <t>Psychosocial Sessions</t>
  </si>
  <si>
    <t>Children Forums</t>
  </si>
  <si>
    <t>SGBV</t>
  </si>
  <si>
    <t xml:space="preserve">Civic Education </t>
  </si>
  <si>
    <t>T.O.T Protection Programs</t>
  </si>
  <si>
    <t>Life Skills Sessions</t>
  </si>
  <si>
    <t>Start Your Business</t>
  </si>
  <si>
    <t>Loans to re-start ups SME</t>
  </si>
  <si>
    <t>Home Economics</t>
  </si>
  <si>
    <t>Production Kitchens</t>
  </si>
  <si>
    <t>2.6.6</t>
  </si>
  <si>
    <t xml:space="preserve">Productive Homes (Home Gardens) </t>
  </si>
  <si>
    <t>2.6.7</t>
  </si>
  <si>
    <t>Women Forums</t>
  </si>
  <si>
    <t>2.6.8</t>
  </si>
  <si>
    <t>Community Development of CBO's &amp; CRO's</t>
  </si>
  <si>
    <t>2.6.9</t>
  </si>
  <si>
    <t>Capacity Building of CBO's &amp; CRO's</t>
  </si>
  <si>
    <t>2.6.10</t>
  </si>
  <si>
    <t>Youth Forums</t>
  </si>
  <si>
    <t>2.7.7.</t>
  </si>
  <si>
    <t>2.7.6.</t>
  </si>
  <si>
    <t>Promotion of Girls Education - Girls</t>
  </si>
  <si>
    <t>Promotion of Girls Education - Parents</t>
  </si>
  <si>
    <t>Promotion of Girls Education - Teachers</t>
  </si>
  <si>
    <t>Active Teaching</t>
  </si>
  <si>
    <t>Non Formal teaching&amp; counceling</t>
  </si>
  <si>
    <t>T.O.T Non formal teaching</t>
  </si>
  <si>
    <t>Kindergarten</t>
  </si>
  <si>
    <t>Classes</t>
  </si>
  <si>
    <t>Emergency Preparedness</t>
  </si>
  <si>
    <t>Lumpsum</t>
  </si>
  <si>
    <t>Capacity Building of Board and Staff</t>
  </si>
  <si>
    <t>Capacity Building on safety, health, &amp; security</t>
  </si>
  <si>
    <t>Estimate</t>
  </si>
  <si>
    <t>Fuel/ Travel between Amman and Governorates</t>
  </si>
  <si>
    <t>Meeting</t>
  </si>
  <si>
    <t>Capacity Building</t>
  </si>
  <si>
    <t xml:space="preserve">Training </t>
  </si>
  <si>
    <t>Program coordinator</t>
  </si>
  <si>
    <t>months</t>
  </si>
  <si>
    <t>Program managers (4)</t>
  </si>
  <si>
    <t>Food Support</t>
  </si>
  <si>
    <t>Vouchers</t>
  </si>
  <si>
    <t>Psychosocial rehabilitation</t>
  </si>
  <si>
    <t>Sessions</t>
  </si>
  <si>
    <t>Recreational activities for children</t>
  </si>
  <si>
    <t>Activity</t>
  </si>
  <si>
    <t>Regular classes-Syrian curriculum</t>
  </si>
  <si>
    <t>Regular classes-Lebanese curriculum</t>
  </si>
  <si>
    <t>Informal classes -special advancement</t>
  </si>
  <si>
    <t xml:space="preserve">Official exams related expenses </t>
  </si>
  <si>
    <t>Improving educational environment</t>
  </si>
  <si>
    <t>Student</t>
  </si>
  <si>
    <t>Lump sum</t>
  </si>
  <si>
    <t>Center</t>
  </si>
  <si>
    <t>computer</t>
  </si>
  <si>
    <t>Printer</t>
  </si>
  <si>
    <t>Camera</t>
  </si>
  <si>
    <t>month</t>
  </si>
  <si>
    <t xml:space="preserve">month </t>
  </si>
  <si>
    <t>Program Manager (100%)</t>
  </si>
  <si>
    <t>Project Officer (Education) (100%)</t>
  </si>
  <si>
    <t>Career Counsel/Business Coach Two Staff (100%)</t>
  </si>
  <si>
    <t>Field Officer Three staff (30%)</t>
  </si>
  <si>
    <t>Livelihood Advisor 25%</t>
  </si>
  <si>
    <t>Recreation Activites (Circus, Football and Volleyball) Zaatari</t>
  </si>
  <si>
    <t>Cycle</t>
  </si>
  <si>
    <t>Recreation Activities (Handicraft) HC</t>
  </si>
  <si>
    <t>Mobile Maintenance Zaatari</t>
  </si>
  <si>
    <t>Mobile Maintenance Kit Zaatari</t>
  </si>
  <si>
    <t>Kit</t>
  </si>
  <si>
    <t>Mobile Maintenance Azraq</t>
  </si>
  <si>
    <t>Mobile Maintenance Kit Azraq</t>
  </si>
  <si>
    <t>Mobile Maintenance HC</t>
  </si>
  <si>
    <t>2.6.6.</t>
  </si>
  <si>
    <t>Mobile Maintenance Kit HC</t>
  </si>
  <si>
    <t>2.6.7.</t>
  </si>
  <si>
    <t>Sewing Activity Azraq (Teachers and materials)</t>
  </si>
  <si>
    <t>2.6.8.</t>
  </si>
  <si>
    <t>Sewing Activity Azraq kits</t>
  </si>
  <si>
    <t>kit</t>
  </si>
  <si>
    <t>2.6.9.</t>
  </si>
  <si>
    <t>Agriculture Activity (Teachers and materials) Azraq</t>
  </si>
  <si>
    <t>2.6.10.</t>
  </si>
  <si>
    <t>Hairdressing Activites Zaatari</t>
  </si>
  <si>
    <t>2.6.11.</t>
  </si>
  <si>
    <t>2.6.12.</t>
  </si>
  <si>
    <t>Certificate ICDL Classes Zaatari</t>
  </si>
  <si>
    <t>2.6.13.</t>
  </si>
  <si>
    <t>Certificate ICDL Classes HC</t>
  </si>
  <si>
    <t>2.6.14.</t>
  </si>
  <si>
    <t>Certificate ICDL Classes Azraq</t>
  </si>
  <si>
    <t>2.6.15.</t>
  </si>
  <si>
    <t>meeting</t>
  </si>
  <si>
    <t>2.6.16.</t>
  </si>
  <si>
    <t>sessions</t>
  </si>
  <si>
    <t>2.6.17.</t>
  </si>
  <si>
    <t>people</t>
  </si>
  <si>
    <t>2.6.18.</t>
  </si>
  <si>
    <t xml:space="preserve">Small grants or start-up kits for the business start-ups </t>
  </si>
  <si>
    <t>2.6.19.</t>
  </si>
  <si>
    <t xml:space="preserve">awareness raising events </t>
  </si>
  <si>
    <t>lumpsum</t>
  </si>
  <si>
    <t>2.6.20.</t>
  </si>
  <si>
    <t>Internships potentially leading to employment.</t>
  </si>
  <si>
    <t>person</t>
  </si>
  <si>
    <t>English Activities (Teachers and Materials) Zaatari</t>
  </si>
  <si>
    <t xml:space="preserve">English Activities (Teachers and Materials) HC </t>
  </si>
  <si>
    <t>English Activities (Teachers and Materials) Azraq</t>
  </si>
  <si>
    <t>assessment</t>
  </si>
  <si>
    <t>audit</t>
  </si>
  <si>
    <t>5.6.</t>
  </si>
  <si>
    <t>5.7.</t>
  </si>
  <si>
    <t xml:space="preserve">Running Cost (Fuel, Generator Mant., utilities) Zaatari </t>
  </si>
  <si>
    <t>Running Cost (Fuel, Generator Mant., utilities) Azraq</t>
  </si>
  <si>
    <t xml:space="preserve">Running Cost (Fuel, utilities, rent) HC </t>
  </si>
  <si>
    <t>item</t>
  </si>
  <si>
    <t xml:space="preserve">item </t>
  </si>
  <si>
    <t>Human resources in Camps (Guards)</t>
  </si>
  <si>
    <t>workshop</t>
  </si>
  <si>
    <t>Training education, vocational and recreational personnel (5 days)</t>
  </si>
  <si>
    <t>Salaries 10% Regional Director</t>
  </si>
  <si>
    <t>Salaries 10% Development Manager</t>
  </si>
  <si>
    <t>Salaries 15 % for Jordan Programme Manager)</t>
  </si>
  <si>
    <t>Salaries 25 % for Finance Manager)</t>
  </si>
  <si>
    <t>Salaries 20% Finance Officer</t>
  </si>
  <si>
    <t>Salaries 15% Project Development Manager)</t>
  </si>
  <si>
    <t>Salaries 25% Sr Logistics &amp; Proc Cor</t>
  </si>
  <si>
    <t>Salaries 25% HR Coordinator</t>
  </si>
  <si>
    <t>Car Rent and Fuel 50%</t>
  </si>
  <si>
    <t>Lump Sum</t>
  </si>
  <si>
    <t xml:space="preserve">Office rent 25% </t>
  </si>
  <si>
    <t>Education Specialist (50%)</t>
  </si>
  <si>
    <t>Education Program Manager (50%)</t>
  </si>
  <si>
    <t>M&amp;E Officer (50%)</t>
  </si>
  <si>
    <t>Field Officer (50%) two staff</t>
  </si>
  <si>
    <t>schools</t>
  </si>
  <si>
    <t xml:space="preserve">Heater, fuel </t>
  </si>
  <si>
    <t>Procurement of recreational activities materials</t>
  </si>
  <si>
    <t xml:space="preserve">Awareness sessions health and protection </t>
  </si>
  <si>
    <t xml:space="preserve">session </t>
  </si>
  <si>
    <t>Service mapping and building referral mechanism</t>
  </si>
  <si>
    <t>2.7.8.</t>
  </si>
  <si>
    <t>2.7.9.</t>
  </si>
  <si>
    <t>2.7.10.</t>
  </si>
  <si>
    <t>2.7.11.</t>
  </si>
  <si>
    <t>2.7.12.</t>
  </si>
  <si>
    <t>venue for PD training (4 sessions, 2 days)</t>
  </si>
  <si>
    <t>days</t>
  </si>
  <si>
    <t>Catering and snacks (4 sessions, 2 days)</t>
  </si>
  <si>
    <t>Translator for training into Arabic</t>
  </si>
  <si>
    <t xml:space="preserve">Travel expenses incl. insurance and accomondation </t>
  </si>
  <si>
    <t>trainer</t>
  </si>
  <si>
    <t>Training material incl. translation to Arabic</t>
  </si>
  <si>
    <t>Training of Syria Relief staff on use of ASER assessment tools (1 day remote)</t>
  </si>
  <si>
    <t xml:space="preserve"> Translation and meals</t>
  </si>
  <si>
    <t>Establishment of Teacher Learning Circles and PTA</t>
  </si>
  <si>
    <t>group</t>
  </si>
  <si>
    <t>Provision of students kit</t>
  </si>
  <si>
    <t>Provision of teacher kit</t>
  </si>
  <si>
    <t xml:space="preserve">Provision of follow up material </t>
  </si>
  <si>
    <t xml:space="preserve">assessment </t>
  </si>
  <si>
    <t>visit</t>
  </si>
  <si>
    <t>auditor</t>
  </si>
  <si>
    <t>Security trainings for SR</t>
  </si>
  <si>
    <t xml:space="preserve">training </t>
  </si>
  <si>
    <t>Syria Programme Manager (30%) FCA</t>
  </si>
  <si>
    <t>Finance Manager (15%) FCA</t>
  </si>
  <si>
    <t>Program Officer (25%) FCA</t>
  </si>
  <si>
    <t>Accounting Coordinator (10%), SR</t>
  </si>
  <si>
    <t>Grants Coordinator (10%), SR</t>
  </si>
  <si>
    <t>HR Coordinator (10 %), SR</t>
  </si>
  <si>
    <t xml:space="preserve"> Logistic Coordinator (10 %), SR</t>
  </si>
  <si>
    <t>Compliance Coordinator (10%), SR</t>
  </si>
  <si>
    <t>Office Manager (Syria),  25% SR</t>
  </si>
  <si>
    <t>Office rent 10% FCA</t>
  </si>
  <si>
    <t>Office rent 15% SR</t>
  </si>
  <si>
    <t>Office Utilities FCA</t>
  </si>
  <si>
    <t>Office Utilities SR</t>
  </si>
  <si>
    <t>Office stationery FCA</t>
  </si>
  <si>
    <t>Office stationery SR</t>
  </si>
  <si>
    <t>lump sum</t>
  </si>
  <si>
    <t>Telephone, Internet FCA</t>
  </si>
  <si>
    <t>Telephone, Internet SR</t>
  </si>
  <si>
    <t>IOCC - Gifts-in-Kind provided by IOCC (school and hygiene kits)</t>
  </si>
  <si>
    <t xml:space="preserve">Program Manager (1) (30%) </t>
  </si>
  <si>
    <t>1.3.6.</t>
  </si>
  <si>
    <t>1.3.7.</t>
  </si>
  <si>
    <t>1.3.8.</t>
  </si>
  <si>
    <t>Project Assistant (2) (100%)</t>
  </si>
  <si>
    <t>Health &amp; Nutrition Coordinator (1) (50%)</t>
  </si>
  <si>
    <t>Feedback &amp; Referrals Assistant (1) (30%)</t>
  </si>
  <si>
    <t>M&amp;E Officer (1) (30%)</t>
  </si>
  <si>
    <t>Fringe Benefits for National &amp; International</t>
  </si>
  <si>
    <t>Cash-for-Rent (200 households)</t>
  </si>
  <si>
    <t>Awareness Sessions/Distributions of Rent</t>
  </si>
  <si>
    <t>Community Outreach Volunteers (10 people x 15 days)</t>
  </si>
  <si>
    <t>Food Parcels (200 households)</t>
  </si>
  <si>
    <t>parcels</t>
  </si>
  <si>
    <t>Food Vouchers (150 households for 3 months)</t>
  </si>
  <si>
    <t>vouchers</t>
  </si>
  <si>
    <t>Coordination Fees for Vouchers</t>
  </si>
  <si>
    <t>Poultry Production Units (50 households)</t>
  </si>
  <si>
    <t>units</t>
  </si>
  <si>
    <t>Training on Animal Husbandry</t>
  </si>
  <si>
    <t>Awareness Sessions for Children on Health &amp; Hygiene (750 participants)</t>
  </si>
  <si>
    <t>Awareness Sessions for Adults on Health &amp; Hygiene (750 participants)</t>
  </si>
  <si>
    <t>Awareness Sessions for Adults on IYCF and Malnutrition (500 participants)</t>
  </si>
  <si>
    <t>Awareness Sessions on Malnutrition, Health, &amp; Hygiene in Camp (500 participants)</t>
  </si>
  <si>
    <t>Community Health Volunteers (10 people x 30 days)</t>
  </si>
  <si>
    <t>2.5.5</t>
  </si>
  <si>
    <t>2.5.6.</t>
  </si>
  <si>
    <t>2.5.7.</t>
  </si>
  <si>
    <t>2.5.8.</t>
  </si>
  <si>
    <t>CBRW + Volunteer Incentives (16 people x 23 days/month x 12 months)</t>
  </si>
  <si>
    <t>CBRW/Volunteer Training</t>
  </si>
  <si>
    <t>Assistive Devices:  Glasses (350 pairs)</t>
  </si>
  <si>
    <t>glasses</t>
  </si>
  <si>
    <t>Assistive Devices:  Hearing Aids and Batteries (450 hearing aids for 250 people)</t>
  </si>
  <si>
    <t>hearing aids</t>
  </si>
  <si>
    <t>Community Awarness Sessions, Training, and Self-Help Group (500 participants)</t>
  </si>
  <si>
    <t>Doctor/Specialists Consultations for PWD (50 cases)</t>
  </si>
  <si>
    <t>consultations</t>
  </si>
  <si>
    <t>Specialized Medical Treatment for PWD (10 cases)</t>
  </si>
  <si>
    <t>treatments</t>
  </si>
  <si>
    <t>Recreational Activities + Camp Events (400 people)</t>
  </si>
  <si>
    <t>participants</t>
  </si>
  <si>
    <t>3.9.</t>
  </si>
  <si>
    <t>Capacity Building of Local Staff</t>
  </si>
  <si>
    <t>Hire/ Rental of Vehicles (Qty 1) (100%)</t>
  </si>
  <si>
    <t>Fuel, Vehicle Maintenance &amp; Parking (30%)</t>
  </si>
  <si>
    <t>Rental of warehouse (GIK, Ocean Freight, ITSH, and Trucking)</t>
  </si>
  <si>
    <t>fee</t>
  </si>
  <si>
    <t>Salaries for Logistician/Procurement Officer (1) (70%)</t>
  </si>
  <si>
    <t>Salaries / wages for Drivers (1) (30%)</t>
  </si>
  <si>
    <t>Travel - In-Country (30%)</t>
  </si>
  <si>
    <t>Accomodation</t>
  </si>
  <si>
    <t>Computers and accessories (Qty 2) (100%)</t>
  </si>
  <si>
    <t>Printers (Qty 2) (100%)</t>
  </si>
  <si>
    <t xml:space="preserve">Office Furniture (2 Cupoards, 2 Desks, 2 Sides) </t>
  </si>
  <si>
    <t>Computer</t>
  </si>
  <si>
    <t>trips</t>
  </si>
  <si>
    <t xml:space="preserve">Finance &amp; Administarive Manager (1) (30%) </t>
  </si>
  <si>
    <t xml:space="preserve">Senior Finance Officer (1) (30%) </t>
  </si>
  <si>
    <t>Finance Assistant (1) (30%)</t>
  </si>
  <si>
    <t xml:space="preserve">Administrative Assistant (1) (30%) </t>
  </si>
  <si>
    <t xml:space="preserve">Fringe Benefits </t>
  </si>
  <si>
    <t>Office rent (30%)</t>
  </si>
  <si>
    <t>Office Utilities (30%)</t>
  </si>
  <si>
    <t>Office stationery (30%)</t>
  </si>
  <si>
    <t>Computer Supplies &amp; Toners (30%)</t>
  </si>
  <si>
    <t>Repair &amp; Maintenance (30%)</t>
  </si>
  <si>
    <t>Bank Charges</t>
  </si>
  <si>
    <t>Insurance for Office (30%)</t>
  </si>
  <si>
    <t>Bank Charges (100%)</t>
  </si>
  <si>
    <t>Telephone and fax (30%)</t>
  </si>
  <si>
    <t>Program Director (1) (10%)</t>
  </si>
  <si>
    <t>Program Manager (1)  (20%)</t>
  </si>
  <si>
    <t>Project Coordinator - Distribution/Shelter (1)  (50%)</t>
  </si>
  <si>
    <t>Project Coordinator - Education (1)  (20%)</t>
  </si>
  <si>
    <t>Project Coordinator - Health (1)  (20%)</t>
  </si>
  <si>
    <t>Project Coordinator - Livelihood (1)  (20%)</t>
  </si>
  <si>
    <t>Bedding</t>
  </si>
  <si>
    <t>Clothing</t>
  </si>
  <si>
    <t>Rent Assistance (3 months)</t>
  </si>
  <si>
    <t>Food Parcels</t>
  </si>
  <si>
    <t>Subsidised surgeries</t>
  </si>
  <si>
    <t>surgeries</t>
  </si>
  <si>
    <t>Subsidised deliveries</t>
  </si>
  <si>
    <t>deliveries</t>
  </si>
  <si>
    <t>Cash-for-Work/Employment</t>
  </si>
  <si>
    <t>Project</t>
  </si>
  <si>
    <t>Tuition &amp; Fees Support</t>
  </si>
  <si>
    <t>Remedial Courses</t>
  </si>
  <si>
    <t>Workshop</t>
  </si>
  <si>
    <t>Country Representative 1 (10%)</t>
  </si>
  <si>
    <t>Relief Coordinator (2) (10%)</t>
  </si>
  <si>
    <t>Finance Manager (1) (10%)</t>
  </si>
  <si>
    <t>Project Coordinator (4)  (25%)</t>
  </si>
  <si>
    <t>Field Officers (8)  (25%)</t>
  </si>
  <si>
    <t>student</t>
  </si>
  <si>
    <t>Primary Secondary health care through subsidized medical care</t>
  </si>
  <si>
    <t>session</t>
  </si>
  <si>
    <t>project</t>
  </si>
  <si>
    <t>lump</t>
  </si>
  <si>
    <t>Salaries for Logistician/Procurement Officer (1)(20%)</t>
  </si>
  <si>
    <t>Meetings</t>
  </si>
  <si>
    <t>ACT JSL Meetings (1 meeting in Amman, IOCC hosting the Annual Meeting)</t>
  </si>
  <si>
    <t>Relief &amp; Development Officer 1 (15%)</t>
  </si>
  <si>
    <t>Operation Manager (1) (15%)</t>
  </si>
  <si>
    <t>Communication Officer (1) (15%)</t>
  </si>
  <si>
    <t>Staff Care Manager  (1) (15%)</t>
  </si>
  <si>
    <t>Administrative Assistant (1)  (15%)</t>
  </si>
  <si>
    <t>Finance Manager (1) (15%)</t>
  </si>
  <si>
    <t>Security officer (1) (15%)</t>
  </si>
  <si>
    <t>Information Officer  (1)  (25%)</t>
  </si>
  <si>
    <t>Office Assistant/Driver (1)  (25%)</t>
  </si>
  <si>
    <t>Accountant (1)  (15%)</t>
  </si>
  <si>
    <t>Office rent (15%)</t>
  </si>
  <si>
    <t>Office Utilities (15%)</t>
  </si>
  <si>
    <t>Office stationery (15%)</t>
  </si>
  <si>
    <t>Legal Fees</t>
  </si>
  <si>
    <t>Visibility (logos, stickers on distribution items etc.)</t>
  </si>
  <si>
    <t>3.10.</t>
  </si>
  <si>
    <t>Staff Care</t>
  </si>
  <si>
    <t>1/monthly</t>
  </si>
  <si>
    <t>Program Manager</t>
  </si>
  <si>
    <t>Livelihoods coordinator</t>
  </si>
  <si>
    <t>Protection coordinator</t>
  </si>
  <si>
    <t>PSS Project Assistant zaatari (100%)</t>
  </si>
  <si>
    <t>PSS- Project assistant Irbid  (100%)</t>
  </si>
  <si>
    <t>PSS- Zaatari manager (50%)</t>
  </si>
  <si>
    <t>PSS- Irbid manager (50%)</t>
  </si>
  <si>
    <t>Livelihoods manager (50%)</t>
  </si>
  <si>
    <t>Cash and Assessment Officer (50%)</t>
  </si>
  <si>
    <t>roving assessors (100%)</t>
  </si>
  <si>
    <t>Government liaison senior officer (25%)</t>
  </si>
  <si>
    <t>Program Support officer (50%)</t>
  </si>
  <si>
    <t>2/monthly</t>
  </si>
  <si>
    <t>2.5.9.</t>
  </si>
  <si>
    <t>2.5.10.</t>
  </si>
  <si>
    <t>2.5.11.</t>
  </si>
  <si>
    <t>2.5.12.</t>
  </si>
  <si>
    <t>2.5.13.</t>
  </si>
  <si>
    <t>2.5.14.</t>
  </si>
  <si>
    <t>2.5.15.</t>
  </si>
  <si>
    <t>2.5.16.</t>
  </si>
  <si>
    <t>PSS youth activities - zaatari</t>
  </si>
  <si>
    <t>groups</t>
  </si>
  <si>
    <t>English courses -zaatari</t>
  </si>
  <si>
    <t>caregivers courses -zaatari</t>
  </si>
  <si>
    <t>staff PSS curriculum training</t>
  </si>
  <si>
    <t>each</t>
  </si>
  <si>
    <t>Zaatari running costs</t>
  </si>
  <si>
    <t>cash for work Zaatari</t>
  </si>
  <si>
    <t>PSS young women activities sport - irbid</t>
  </si>
  <si>
    <t>PSS sessions for children - Irbid</t>
  </si>
  <si>
    <t>Caregivers parenting sessions  -Irbid</t>
  </si>
  <si>
    <t>Parenting dialogue sessions  - Irbid</t>
  </si>
  <si>
    <t>protection committees  - Irbid</t>
  </si>
  <si>
    <t>community initiatives - Irbid</t>
  </si>
  <si>
    <t>Protection Advocacy sessions for local community leaders</t>
  </si>
  <si>
    <t>PSS sessions for children 7-13 (100 child)</t>
  </si>
  <si>
    <t>Cash for work volunteers (18 part time)</t>
  </si>
  <si>
    <t>Irbid community center running costs</t>
  </si>
  <si>
    <t>Provision of school fees</t>
  </si>
  <si>
    <t>Training in art and handicraft</t>
  </si>
  <si>
    <t>Training of beneficiaries in business and marketing</t>
  </si>
  <si>
    <t>Provision of start up kits / grants and market linkages activities</t>
  </si>
  <si>
    <t>cash for work volunteers (6 part time at 125 each)</t>
  </si>
  <si>
    <t>Unconditional Cash for basic need</t>
  </si>
  <si>
    <t>HH</t>
  </si>
  <si>
    <t>year</t>
  </si>
  <si>
    <t>lump sump</t>
  </si>
  <si>
    <t>monthly</t>
  </si>
  <si>
    <t>each/items</t>
  </si>
  <si>
    <t>visits</t>
  </si>
  <si>
    <t>Workshops</t>
  </si>
  <si>
    <t>partner</t>
  </si>
  <si>
    <t>Staff Trainings (Mango)</t>
  </si>
  <si>
    <t>Trip</t>
  </si>
  <si>
    <t>travel (bus trip to Damascus)</t>
  </si>
  <si>
    <t>Social workers (1 full time)</t>
  </si>
  <si>
    <t>Field monitors &amp; Assistants - Education (2)</t>
  </si>
  <si>
    <t>Field monitors &amp; Assistants - Health</t>
  </si>
  <si>
    <t>Field monitors &amp; Assistants - PSS &amp; livelihood</t>
  </si>
  <si>
    <t xml:space="preserve">Treatment for Cancer patients </t>
  </si>
  <si>
    <t>cycle/patient</t>
  </si>
  <si>
    <t>Health awareness for women</t>
  </si>
  <si>
    <t>women</t>
  </si>
  <si>
    <t>Psychosocial support sessions (women &amp; child)</t>
  </si>
  <si>
    <t>beneficiary</t>
  </si>
  <si>
    <t>Vocational Training</t>
  </si>
  <si>
    <t>Paranursing &amp; caregivers</t>
  </si>
  <si>
    <t>Remedial classes</t>
  </si>
  <si>
    <t>Tuition fees</t>
  </si>
  <si>
    <t>Out of School</t>
  </si>
  <si>
    <t>Child safeguarding policy/training for educators</t>
  </si>
  <si>
    <t>unit</t>
  </si>
  <si>
    <t>Salaries %50 for ERS Lebanon - Director)</t>
  </si>
  <si>
    <t>Salaries %20 for Office Director - HO)</t>
  </si>
  <si>
    <t>Salaries %30 for Finance Director - HO)</t>
  </si>
  <si>
    <t>Salaries %40 for Accountant - HO)</t>
  </si>
  <si>
    <t>Salaries %15 for office keeper/messenger - HO</t>
  </si>
  <si>
    <t>Salaries %15 for cashier -HO</t>
  </si>
  <si>
    <t>Office rent @ 20%</t>
  </si>
  <si>
    <t>Office Utilities @ 20%</t>
  </si>
  <si>
    <t>Insurance/ contingency</t>
  </si>
  <si>
    <t>Business start up &amp; resilience officer @ 50%</t>
  </si>
  <si>
    <t>Business start up &amp; resilience officer assistant @ 50%</t>
  </si>
  <si>
    <t>Coordination of education program @ 50%</t>
  </si>
  <si>
    <t>Coordinator of vocational training @ 50%</t>
  </si>
  <si>
    <t>Coordinator for health @ 50%</t>
  </si>
  <si>
    <t xml:space="preserve">Monitors in targeted areas ( 2 persons ) </t>
  </si>
  <si>
    <t>Civil Engineer @ 50% (WASH -CFW coordinator)</t>
  </si>
  <si>
    <t>Program coordinator @ 50%</t>
  </si>
  <si>
    <t>Program coordinator assistant/ area coordinator @ 50%</t>
  </si>
  <si>
    <t>WASH - Cash for Work - labor</t>
  </si>
  <si>
    <t>worker</t>
  </si>
  <si>
    <t>WASH - Cash for Work - material</t>
  </si>
  <si>
    <t>WASH - Cash for Work - other material</t>
  </si>
  <si>
    <t>Medication for Cancer Patients</t>
  </si>
  <si>
    <t>patient</t>
  </si>
  <si>
    <t>Medication for diabetic or blood pressure</t>
  </si>
  <si>
    <t>Capacity building - protection</t>
  </si>
  <si>
    <t>Vocational training</t>
  </si>
  <si>
    <t>Business start-up training</t>
  </si>
  <si>
    <t>Advanced business start-up training</t>
  </si>
  <si>
    <t>Start-up kits</t>
  </si>
  <si>
    <t>Small financial grants</t>
  </si>
  <si>
    <t>University students</t>
  </si>
  <si>
    <t>Salaries % 25 for ERS Director - Syria)</t>
  </si>
  <si>
    <t>Salaries % 50 for Finance Director - Syria)</t>
  </si>
  <si>
    <t>Salaries % 50 for Accountant - Syria)</t>
  </si>
  <si>
    <t>Salaries % 50 for Reporting)</t>
  </si>
  <si>
    <t>Salaries % 50 for M&amp;E)</t>
  </si>
  <si>
    <t>Salaries for other admin or secretarial staff 3 persons @ 50%)</t>
  </si>
  <si>
    <t>Insurance/contingency</t>
  </si>
  <si>
    <t>Oanda Currency Converter (2017.12.12)</t>
  </si>
  <si>
    <t>Capacity Building of Volunteers (T.O.T)</t>
  </si>
  <si>
    <t xml:space="preserve">Rehabilitation of 192 classrooms, 14 schools </t>
  </si>
  <si>
    <t>Fixed at par with USD</t>
  </si>
  <si>
    <t>At par with 1 USD</t>
  </si>
  <si>
    <r>
      <t xml:space="preserve">EXCHANGE RATE: </t>
    </r>
    <r>
      <rPr>
        <b/>
        <sz val="10"/>
        <color indexed="10"/>
        <rFont val="Arial"/>
        <family val="2"/>
      </rPr>
      <t>set at par with 1 USD</t>
    </r>
  </si>
  <si>
    <t>DSPR Jordan</t>
  </si>
  <si>
    <t>DSPR Lebanon</t>
  </si>
  <si>
    <t>FCA Jordan</t>
  </si>
  <si>
    <t>FCA Syria</t>
  </si>
  <si>
    <t>IOCC Jordan</t>
  </si>
  <si>
    <t>IOCC Lebanon</t>
  </si>
  <si>
    <t>IOCC Syria</t>
  </si>
  <si>
    <t>LWF Jordan</t>
  </si>
  <si>
    <t>MECC Lebanon</t>
  </si>
  <si>
    <t>MECC Syria</t>
  </si>
  <si>
    <t>ACT JSL Meetings (travel costs for 2 meetings in Beirut)</t>
  </si>
  <si>
    <t>Capacity Building (travel costs for 2 workshops in Beirut)</t>
  </si>
  <si>
    <t>Capacity Building for staff</t>
  </si>
  <si>
    <t>Camp Coordinator (1) (50%)</t>
  </si>
  <si>
    <t>Camp Project Assistant (1) (50%)</t>
  </si>
  <si>
    <t xml:space="preserve">Field Coordinator (2) (50%) </t>
  </si>
  <si>
    <t xml:space="preserve">Site Monitor/ Engineer (1) (100%) </t>
  </si>
  <si>
    <t>Country Representative (1) (25%)</t>
  </si>
  <si>
    <t>Legal Fees (30%)</t>
  </si>
  <si>
    <t>Laptops will continue to be used by IOCC staff in implementation of future activities</t>
  </si>
  <si>
    <t>Laptop (2)</t>
  </si>
  <si>
    <t xml:space="preserve">Camera </t>
  </si>
  <si>
    <t>Camera will continue to be used by IOCC staff for communication of future activities</t>
  </si>
  <si>
    <t>Technical Assistants (3) Business Recovery Services Program</t>
  </si>
  <si>
    <t>ACT JSL Meetings (1 meeting in Amman)</t>
  </si>
  <si>
    <t>ACT JSL Meetings (2 meetings in Beirut)</t>
  </si>
  <si>
    <t>Capacity Building (hosting 1 capacity building event in Amman)</t>
  </si>
  <si>
    <t xml:space="preserve">6.2.5. </t>
  </si>
  <si>
    <t>ACT JSL Meetings (1 staff x 2 meetings)</t>
  </si>
  <si>
    <t xml:space="preserve">Capacity Building (1 staff to 1 trainings in Beirut) </t>
  </si>
  <si>
    <t xml:space="preserve">Capacity Building  ( 1 staff attending 1 trainings in Amman) </t>
  </si>
  <si>
    <t>Capacity Building (1 staff attending 1 training in Amman)</t>
  </si>
  <si>
    <t>ACT JSL Meetings ( 1 staff attending Annual meeting in Beirut and 1 staff attending JSL meeting in Amman)</t>
  </si>
  <si>
    <t>ACT JSL Meeting (2 staff attending 2 meetings in Beirut)</t>
  </si>
  <si>
    <t>Capacity Building (1 staff attending 2 workshops in Beirut)</t>
  </si>
  <si>
    <t>6.2.5</t>
  </si>
  <si>
    <t>Capacity Building (Hosting a workshop)</t>
  </si>
  <si>
    <t>ACT JSL Meetings (2 staff attending meeting in Amman)</t>
  </si>
  <si>
    <t>Infants Clothing Kits</t>
  </si>
  <si>
    <t>2.7.7</t>
  </si>
  <si>
    <t>Kits</t>
  </si>
  <si>
    <t>3.11.</t>
  </si>
  <si>
    <t>3.12.</t>
  </si>
  <si>
    <t>Evaluation &amp; Feedback for staff trainings and workshops</t>
  </si>
  <si>
    <t>Households</t>
  </si>
  <si>
    <t>WASH item vouchers distributed quarterly</t>
  </si>
  <si>
    <t>WASH activity (infrastructire water systems for the host community or the ITS, such as network or reservoir, in addition to hygiene promotion)</t>
  </si>
  <si>
    <t>Community</t>
  </si>
  <si>
    <t xml:space="preserve">Livelihood support (cash for work opportunities, each project is for 6 months for 200 beneficiaries) </t>
  </si>
  <si>
    <t xml:space="preserve">Education support activities (includes activities for 1000 students throughout the  year, school rehabilitation) </t>
  </si>
  <si>
    <t xml:space="preserve">Wrap-up/knowledge sharing session </t>
  </si>
  <si>
    <t>Local partners: Capacity building support</t>
  </si>
  <si>
    <t>Laptops</t>
  </si>
  <si>
    <t>JOD 800</t>
  </si>
  <si>
    <t>JOD 3600</t>
  </si>
  <si>
    <t>Pots</t>
  </si>
  <si>
    <t>Food Assistance/distribution of cooked meals (200 families)</t>
  </si>
  <si>
    <t xml:space="preserve">Distribution of healthy  snacks in elementary schools </t>
  </si>
  <si>
    <t>2.2.2</t>
  </si>
  <si>
    <t>Snacks</t>
  </si>
  <si>
    <t xml:space="preserve">Awareness sessions of healthy eating </t>
  </si>
  <si>
    <t>Teacher professional development training for 240 teachers  (4 sessions, 2 days each)</t>
  </si>
  <si>
    <t>2.7.8</t>
  </si>
  <si>
    <t>conduct baseline &amp; end line ASER assessment (10 enumerators for 40 days)</t>
  </si>
  <si>
    <t>2.7.13.</t>
  </si>
  <si>
    <t>Entrepreneurship Course in Zaatari</t>
  </si>
  <si>
    <t xml:space="preserve">Entrepreneurship Course in Azraq </t>
  </si>
  <si>
    <t>Entrepreneurship Course in HC</t>
  </si>
  <si>
    <t>Salaries 20% for Program Manager</t>
  </si>
  <si>
    <t xml:space="preserve">Salaries 15% for Finance Manager </t>
  </si>
  <si>
    <t>computer 1</t>
  </si>
  <si>
    <t>computer 2</t>
  </si>
  <si>
    <t xml:space="preserve">Communications equipment - video camera
</t>
  </si>
  <si>
    <t>Capacity Building - staff travel to CB</t>
  </si>
  <si>
    <t>Capacity Building - MECC hosting CB</t>
  </si>
  <si>
    <t>MECC use for future activities</t>
  </si>
  <si>
    <t xml:space="preserve">SYR181 </t>
  </si>
  <si>
    <t>Syria Humanitarian Response</t>
  </si>
  <si>
    <t>01 January 2018 - 31 December 2018</t>
  </si>
  <si>
    <t>SYR181</t>
  </si>
  <si>
    <t>01 January 2018- 31 December 2018</t>
  </si>
  <si>
    <t xml:space="preserve">FCA Syria </t>
  </si>
  <si>
    <t xml:space="preserve">01 January 2018 - 31 December 2018 </t>
  </si>
  <si>
    <t xml:space="preserve">01 January 2018- 31 December 2018 </t>
  </si>
  <si>
    <t>01 January  2018- 31 December 2018</t>
  </si>
  <si>
    <t xml:space="preserve">Thematic Technical Advisor (55%) </t>
  </si>
  <si>
    <t>Video Camera</t>
  </si>
  <si>
    <t xml:space="preserve">Monitoring &amp; evaluation </t>
  </si>
  <si>
    <t>parcel</t>
  </si>
  <si>
    <t>Chief Coordinator- Central Office (50%)</t>
  </si>
  <si>
    <t>Chief Finance Officer- Central Office (50%)</t>
  </si>
  <si>
    <t>Secretarial and other support- Central Office (50%)</t>
  </si>
  <si>
    <t>Salaries for accountant and other admin or secretarial staff (4 staff) (35%)</t>
  </si>
  <si>
    <t>Salaries for accountant and other admin or secretarial staff …..) (50%)</t>
  </si>
  <si>
    <t>Office Utilities 25%</t>
  </si>
  <si>
    <t>Sound Recording Equipment</t>
  </si>
  <si>
    <t>To be used for DSPR Program activities</t>
  </si>
  <si>
    <t xml:space="preserve">Mobile </t>
  </si>
  <si>
    <t>Office rent (25%)</t>
  </si>
  <si>
    <t>Office Utilities (25%)</t>
  </si>
  <si>
    <t>Video Conferencing set-up between Lebanon and Jordan for webinars, conferences</t>
  </si>
  <si>
    <t>Vouchers for NFI distributed monthly  and monthly cash for rent assistance for 12 months</t>
  </si>
  <si>
    <t>Computers (5)</t>
  </si>
  <si>
    <t xml:space="preserve">To be used by IOCC Staff for future activities </t>
  </si>
  <si>
    <t>Video Cameras with sound recording equipment (3)</t>
  </si>
  <si>
    <t xml:space="preserve">Office Furniture </t>
  </si>
  <si>
    <t xml:space="preserve">To be used by IOCC Staff </t>
  </si>
  <si>
    <t>Computers (3)</t>
  </si>
  <si>
    <t xml:space="preserve">Used by FCA Staff for future activities </t>
  </si>
  <si>
    <t>IOCC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</si>
</sst>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#,##0.00000"/>
    <numFmt numFmtId="168" formatCode="yyyy\-mm\-dd;@"/>
    <numFmt numFmtId="169" formatCode="#,##0.000000"/>
    <numFmt numFmtId="170" formatCode="#,##0\ ;\(#,##0\);\-#\ ;@\ "/>
    <numFmt numFmtId="171" formatCode="[=0]\-#\ ;[&lt;0]\(#,##0\);#,##0\ ;@\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4"/>
      <color rgb="FF0070C0"/>
      <name val="Arial"/>
      <family val="2"/>
    </font>
    <font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rgb="FF0070C0"/>
        <bgColor theme="0"/>
      </patternFill>
    </fill>
    <fill>
      <patternFill patternType="solid">
        <fgColor theme="0"/>
        <bgColor indexed="64"/>
      </patternFill>
    </fill>
    <fill>
      <patternFill patternType="lightUp">
        <fgColor rgb="FF0070C0"/>
      </patternFill>
    </fill>
    <fill>
      <patternFill patternType="solid">
        <fgColor rgb="FF5DFFA6"/>
        <bgColor indexed="64"/>
      </patternFill>
    </fill>
    <fill>
      <patternFill patternType="solid">
        <fgColor rgb="FFFFCC99"/>
        <bgColor rgb="FFFAC090"/>
      </patternFill>
    </fill>
    <fill>
      <patternFill patternType="solid">
        <fgColor rgb="FFFAC090"/>
        <b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FAC09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407">
    <xf numFmtId="0" fontId="0" fillId="0" borderId="0" xfId="0"/>
    <xf numFmtId="4" fontId="0" fillId="0" borderId="0" xfId="0" applyNumberFormat="1" applyBorder="1" applyProtection="1"/>
    <xf numFmtId="4" fontId="4" fillId="0" borderId="0" xfId="1" applyNumberFormat="1" applyFont="1" applyFill="1" applyProtection="1"/>
    <xf numFmtId="3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4" fontId="0" fillId="0" borderId="0" xfId="0" applyNumberFormat="1" applyProtection="1">
      <protection locked="0"/>
    </xf>
    <xf numFmtId="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3" fontId="0" fillId="0" borderId="0" xfId="1" applyNumberFormat="1" applyFont="1" applyProtection="1">
      <protection locked="0"/>
    </xf>
    <xf numFmtId="4" fontId="10" fillId="0" borderId="0" xfId="0" applyNumberFormat="1" applyFont="1" applyProtection="1"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165" fontId="2" fillId="0" borderId="0" xfId="1" applyNumberFormat="1" applyFont="1" applyAlignment="1" applyProtection="1">
      <alignment horizontal="center"/>
      <protection locked="0"/>
    </xf>
    <xf numFmtId="3" fontId="15" fillId="0" borderId="0" xfId="1" applyNumberFormat="1" applyFont="1" applyAlignment="1" applyProtection="1">
      <alignment horizontal="center"/>
      <protection locked="0"/>
    </xf>
    <xf numFmtId="3" fontId="2" fillId="0" borderId="0" xfId="1" applyNumberFormat="1" applyFont="1" applyFill="1" applyProtection="1">
      <protection locked="0"/>
    </xf>
    <xf numFmtId="3" fontId="4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Protection="1">
      <protection locked="0"/>
    </xf>
    <xf numFmtId="168" fontId="2" fillId="6" borderId="1" xfId="0" applyNumberFormat="1" applyFont="1" applyFill="1" applyBorder="1" applyProtection="1">
      <protection locked="0"/>
    </xf>
    <xf numFmtId="165" fontId="2" fillId="6" borderId="1" xfId="1" applyNumberFormat="1" applyFont="1" applyFill="1" applyBorder="1" applyProtection="1">
      <protection locked="0"/>
    </xf>
    <xf numFmtId="3" fontId="4" fillId="6" borderId="1" xfId="1" applyNumberFormat="1" applyFont="1" applyFill="1" applyBorder="1" applyProtection="1">
      <protection locked="0"/>
    </xf>
    <xf numFmtId="4" fontId="2" fillId="6" borderId="1" xfId="0" applyNumberFormat="1" applyFont="1" applyFill="1" applyBorder="1" applyProtection="1">
      <protection locked="0"/>
    </xf>
    <xf numFmtId="4" fontId="2" fillId="6" borderId="1" xfId="1" applyNumberFormat="1" applyFont="1" applyFill="1" applyBorder="1" applyProtection="1">
      <protection locked="0"/>
    </xf>
    <xf numFmtId="4" fontId="4" fillId="6" borderId="1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165" fontId="0" fillId="0" borderId="0" xfId="1" applyNumberFormat="1" applyFont="1" applyFill="1" applyBorder="1" applyProtection="1">
      <protection locked="0"/>
    </xf>
    <xf numFmtId="3" fontId="0" fillId="0" borderId="0" xfId="1" applyNumberFormat="1" applyFont="1" applyFill="1" applyBorder="1" applyProtection="1">
      <protection locked="0"/>
    </xf>
    <xf numFmtId="165" fontId="4" fillId="6" borderId="1" xfId="1" applyNumberFormat="1" applyFont="1" applyFill="1" applyBorder="1" applyProtection="1">
      <protection locked="0"/>
    </xf>
    <xf numFmtId="165" fontId="4" fillId="0" borderId="0" xfId="1" applyNumberFormat="1" applyFont="1" applyFill="1" applyProtection="1">
      <protection locked="0"/>
    </xf>
    <xf numFmtId="3" fontId="4" fillId="0" borderId="0" xfId="1" applyNumberFormat="1" applyFont="1" applyFill="1" applyProtection="1">
      <protection locked="0"/>
    </xf>
    <xf numFmtId="4" fontId="4" fillId="6" borderId="1" xfId="1" applyNumberFormat="1" applyFont="1" applyFill="1" applyBorder="1" applyAlignment="1" applyProtection="1">
      <alignment horizontal="center"/>
      <protection locked="0"/>
    </xf>
    <xf numFmtId="165" fontId="11" fillId="6" borderId="1" xfId="1" applyNumberFormat="1" applyFont="1" applyFill="1" applyBorder="1" applyAlignment="1" applyProtection="1">
      <alignment horizontal="center"/>
      <protection locked="0"/>
    </xf>
    <xf numFmtId="3" fontId="11" fillId="6" borderId="1" xfId="1" applyNumberFormat="1" applyFont="1" applyFill="1" applyBorder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  <xf numFmtId="165" fontId="0" fillId="0" borderId="0" xfId="1" applyNumberFormat="1" applyFont="1" applyAlignment="1" applyProtection="1">
      <alignment horizontal="center"/>
      <protection locked="0"/>
    </xf>
    <xf numFmtId="3" fontId="0" fillId="0" borderId="0" xfId="1" applyNumberFormat="1" applyFont="1" applyAlignment="1" applyProtection="1">
      <alignment horizontal="center"/>
      <protection locked="0"/>
    </xf>
    <xf numFmtId="4" fontId="10" fillId="6" borderId="1" xfId="0" applyNumberFormat="1" applyFont="1" applyFill="1" applyBorder="1" applyProtection="1">
      <protection locked="0"/>
    </xf>
    <xf numFmtId="4" fontId="11" fillId="6" borderId="1" xfId="1" applyNumberFormat="1" applyFont="1" applyFill="1" applyBorder="1" applyProtection="1">
      <protection locked="0"/>
    </xf>
    <xf numFmtId="165" fontId="11" fillId="6" borderId="1" xfId="1" applyNumberFormat="1" applyFont="1" applyFill="1" applyBorder="1" applyProtection="1">
      <protection locked="0"/>
    </xf>
    <xf numFmtId="1" fontId="11" fillId="6" borderId="1" xfId="1" applyNumberFormat="1" applyFont="1" applyFill="1" applyBorder="1" applyProtection="1">
      <protection locked="0"/>
    </xf>
    <xf numFmtId="166" fontId="11" fillId="6" borderId="1" xfId="1" applyNumberFormat="1" applyFont="1" applyFill="1" applyBorder="1" applyProtection="1">
      <protection locked="0"/>
    </xf>
    <xf numFmtId="3" fontId="11" fillId="6" borderId="1" xfId="1" applyNumberFormat="1" applyFont="1" applyFill="1" applyBorder="1" applyProtection="1">
      <protection locked="0"/>
    </xf>
    <xf numFmtId="4" fontId="11" fillId="0" borderId="0" xfId="1" applyNumberFormat="1" applyFont="1" applyFill="1" applyProtection="1">
      <protection locked="0"/>
    </xf>
    <xf numFmtId="165" fontId="11" fillId="0" borderId="0" xfId="1" applyNumberFormat="1" applyFont="1" applyFill="1" applyProtection="1">
      <protection locked="0"/>
    </xf>
    <xf numFmtId="3" fontId="11" fillId="0" borderId="0" xfId="1" applyNumberFormat="1" applyFont="1" applyFill="1" applyProtection="1">
      <protection locked="0"/>
    </xf>
    <xf numFmtId="4" fontId="2" fillId="3" borderId="2" xfId="1" applyNumberFormat="1" applyFont="1" applyFill="1" applyBorder="1" applyProtection="1"/>
    <xf numFmtId="165" fontId="4" fillId="0" borderId="0" xfId="1" applyNumberFormat="1" applyFont="1" applyFill="1" applyBorder="1" applyProtection="1">
      <protection locked="0"/>
    </xf>
    <xf numFmtId="3" fontId="4" fillId="0" borderId="0" xfId="1" applyNumberFormat="1" applyFont="1" applyFill="1" applyAlignment="1" applyProtection="1">
      <alignment horizontal="right"/>
    </xf>
    <xf numFmtId="4" fontId="4" fillId="0" borderId="0" xfId="0" applyNumberFormat="1" applyFont="1" applyFill="1" applyAlignment="1" applyProtection="1">
      <alignment horizontal="right"/>
    </xf>
    <xf numFmtId="1" fontId="4" fillId="0" borderId="0" xfId="1" applyNumberFormat="1" applyFont="1" applyBorder="1" applyProtection="1"/>
    <xf numFmtId="3" fontId="4" fillId="0" borderId="0" xfId="1" applyNumberFormat="1" applyFont="1" applyBorder="1" applyProtection="1"/>
    <xf numFmtId="4" fontId="0" fillId="0" borderId="0" xfId="0" applyNumberFormat="1" applyProtection="1"/>
    <xf numFmtId="3" fontId="2" fillId="0" borderId="3" xfId="1" applyNumberFormat="1" applyFont="1" applyFill="1" applyBorder="1" applyProtection="1"/>
    <xf numFmtId="4" fontId="0" fillId="0" borderId="0" xfId="0" applyNumberFormat="1" applyFill="1" applyBorder="1" applyProtection="1"/>
    <xf numFmtId="4" fontId="0" fillId="0" borderId="0" xfId="1" applyNumberFormat="1" applyFont="1" applyFill="1" applyBorder="1" applyProtection="1">
      <protection locked="0"/>
    </xf>
    <xf numFmtId="4" fontId="0" fillId="0" borderId="0" xfId="0" applyNumberFormat="1" applyFill="1" applyProtection="1"/>
    <xf numFmtId="3" fontId="2" fillId="2" borderId="3" xfId="1" applyNumberFormat="1" applyFont="1" applyFill="1" applyBorder="1" applyProtection="1"/>
    <xf numFmtId="9" fontId="2" fillId="0" borderId="1" xfId="1" applyNumberFormat="1" applyFont="1" applyFill="1" applyBorder="1" applyProtection="1"/>
    <xf numFmtId="4" fontId="2" fillId="4" borderId="3" xfId="1" applyNumberFormat="1" applyFont="1" applyFill="1" applyBorder="1" applyProtection="1"/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Alignment="1" applyProtection="1">
      <alignment wrapText="1"/>
      <protection locked="0"/>
    </xf>
    <xf numFmtId="165" fontId="2" fillId="6" borderId="0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9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wrapText="1"/>
    </xf>
    <xf numFmtId="3" fontId="2" fillId="0" borderId="0" xfId="1" applyNumberFormat="1" applyFont="1" applyAlignment="1" applyProtection="1">
      <alignment horizontal="center"/>
    </xf>
    <xf numFmtId="3" fontId="0" fillId="0" borderId="0" xfId="0" applyNumberFormat="1" applyAlignment="1" applyProtection="1"/>
    <xf numFmtId="0" fontId="0" fillId="0" borderId="0" xfId="0" applyAlignment="1" applyProtection="1"/>
    <xf numFmtId="4" fontId="2" fillId="0" borderId="0" xfId="0" applyNumberFormat="1" applyFont="1" applyProtection="1"/>
    <xf numFmtId="4" fontId="0" fillId="0" borderId="0" xfId="1" applyNumberFormat="1" applyFont="1" applyProtection="1"/>
    <xf numFmtId="165" fontId="0" fillId="0" borderId="0" xfId="1" applyNumberFormat="1" applyFont="1" applyProtection="1"/>
    <xf numFmtId="3" fontId="0" fillId="0" borderId="0" xfId="1" applyNumberFormat="1" applyFont="1" applyProtection="1"/>
    <xf numFmtId="3" fontId="4" fillId="0" borderId="0" xfId="1" applyNumberFormat="1" applyFont="1" applyProtection="1"/>
    <xf numFmtId="4" fontId="16" fillId="0" borderId="0" xfId="0" applyNumberFormat="1" applyFont="1" applyProtection="1"/>
    <xf numFmtId="4" fontId="16" fillId="6" borderId="1" xfId="1" applyNumberFormat="1" applyFont="1" applyFill="1" applyBorder="1" applyProtection="1"/>
    <xf numFmtId="4" fontId="4" fillId="0" borderId="0" xfId="0" applyNumberFormat="1" applyFont="1" applyProtection="1"/>
    <xf numFmtId="4" fontId="17" fillId="0" borderId="0" xfId="0" applyNumberFormat="1" applyFont="1" applyProtection="1"/>
    <xf numFmtId="4" fontId="9" fillId="0" borderId="0" xfId="0" applyNumberFormat="1" applyFont="1" applyProtection="1"/>
    <xf numFmtId="4" fontId="10" fillId="0" borderId="0" xfId="0" applyNumberFormat="1" applyFont="1" applyProtection="1"/>
    <xf numFmtId="4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center"/>
    </xf>
    <xf numFmtId="3" fontId="2" fillId="0" borderId="0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3" fillId="0" borderId="0" xfId="0" applyNumberFormat="1" applyFont="1" applyFill="1" applyProtection="1"/>
    <xf numFmtId="3" fontId="15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9" xfId="0" applyNumberFormat="1" applyFont="1" applyBorder="1" applyProtection="1"/>
    <xf numFmtId="4" fontId="0" fillId="0" borderId="9" xfId="0" applyNumberFormat="1" applyBorder="1" applyProtection="1"/>
    <xf numFmtId="4" fontId="2" fillId="0" borderId="9" xfId="1" applyNumberFormat="1" applyFont="1" applyBorder="1" applyAlignment="1" applyProtection="1">
      <alignment horizontal="center"/>
    </xf>
    <xf numFmtId="165" fontId="2" fillId="0" borderId="9" xfId="1" applyNumberFormat="1" applyFont="1" applyBorder="1" applyAlignment="1" applyProtection="1">
      <alignment horizontal="center"/>
    </xf>
    <xf numFmtId="3" fontId="6" fillId="0" borderId="9" xfId="1" applyNumberFormat="1" applyFont="1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4" fontId="2" fillId="0" borderId="0" xfId="0" applyNumberFormat="1" applyFont="1" applyBorder="1" applyProtection="1"/>
    <xf numFmtId="4" fontId="2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3" fontId="6" fillId="0" borderId="0" xfId="1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2" fillId="0" borderId="0" xfId="0" applyNumberFormat="1" applyFont="1" applyFill="1" applyProtection="1"/>
    <xf numFmtId="4" fontId="2" fillId="0" borderId="0" xfId="1" applyNumberFormat="1" applyFont="1" applyFill="1" applyProtection="1"/>
    <xf numFmtId="165" fontId="2" fillId="0" borderId="0" xfId="1" applyNumberFormat="1" applyFont="1" applyFill="1" applyProtection="1"/>
    <xf numFmtId="3" fontId="2" fillId="0" borderId="0" xfId="1" applyNumberFormat="1" applyFont="1" applyFill="1" applyProtection="1"/>
    <xf numFmtId="4" fontId="0" fillId="5" borderId="0" xfId="0" applyNumberFormat="1" applyFill="1" applyProtection="1"/>
    <xf numFmtId="4" fontId="8" fillId="0" borderId="0" xfId="0" applyNumberFormat="1" applyFont="1" applyFill="1" applyProtection="1"/>
    <xf numFmtId="168" fontId="2" fillId="6" borderId="1" xfId="0" applyNumberFormat="1" applyFont="1" applyFill="1" applyBorder="1" applyProtection="1"/>
    <xf numFmtId="4" fontId="4" fillId="6" borderId="1" xfId="0" applyNumberFormat="1" applyFont="1" applyFill="1" applyBorder="1" applyAlignment="1" applyProtection="1">
      <alignment wrapText="1"/>
    </xf>
    <xf numFmtId="165" fontId="2" fillId="6" borderId="1" xfId="1" applyNumberFormat="1" applyFont="1" applyFill="1" applyBorder="1" applyProtection="1"/>
    <xf numFmtId="3" fontId="4" fillId="6" borderId="1" xfId="1" applyNumberFormat="1" applyFont="1" applyFill="1" applyBorder="1" applyProtection="1"/>
    <xf numFmtId="4" fontId="4" fillId="0" borderId="0" xfId="0" applyNumberFormat="1" applyFont="1" applyFill="1" applyProtection="1"/>
    <xf numFmtId="4" fontId="2" fillId="6" borderId="1" xfId="0" applyNumberFormat="1" applyFont="1" applyFill="1" applyBorder="1" applyProtection="1"/>
    <xf numFmtId="4" fontId="2" fillId="6" borderId="1" xfId="1" applyNumberFormat="1" applyFont="1" applyFill="1" applyBorder="1" applyProtection="1"/>
    <xf numFmtId="4" fontId="4" fillId="6" borderId="1" xfId="1" applyNumberFormat="1" applyFont="1" applyFill="1" applyBorder="1" applyProtection="1"/>
    <xf numFmtId="4" fontId="2" fillId="3" borderId="0" xfId="0" applyNumberFormat="1" applyFont="1" applyFill="1" applyProtection="1"/>
    <xf numFmtId="4" fontId="0" fillId="3" borderId="0" xfId="1" applyNumberFormat="1" applyFont="1" applyFill="1" applyProtection="1"/>
    <xf numFmtId="165" fontId="0" fillId="3" borderId="0" xfId="1" applyNumberFormat="1" applyFont="1" applyFill="1" applyBorder="1" applyProtection="1"/>
    <xf numFmtId="3" fontId="0" fillId="3" borderId="0" xfId="1" applyNumberFormat="1" applyFont="1" applyFill="1" applyBorder="1" applyProtection="1"/>
    <xf numFmtId="4" fontId="2" fillId="3" borderId="0" xfId="1" applyNumberFormat="1" applyFont="1" applyFill="1" applyBorder="1" applyProtection="1"/>
    <xf numFmtId="4" fontId="0" fillId="0" borderId="0" xfId="1" applyNumberFormat="1" applyFont="1" applyFill="1" applyProtection="1"/>
    <xf numFmtId="165" fontId="0" fillId="0" borderId="0" xfId="1" applyNumberFormat="1" applyFont="1" applyFill="1" applyBorder="1" applyProtection="1"/>
    <xf numFmtId="3" fontId="0" fillId="0" borderId="0" xfId="1" applyNumberFormat="1" applyFont="1" applyFill="1" applyBorder="1" applyProtection="1"/>
    <xf numFmtId="4" fontId="2" fillId="0" borderId="0" xfId="1" applyNumberFormat="1" applyFont="1" applyFill="1" applyBorder="1" applyProtection="1"/>
    <xf numFmtId="165" fontId="0" fillId="0" borderId="0" xfId="1" applyNumberFormat="1" applyFont="1" applyFill="1" applyProtection="1"/>
    <xf numFmtId="3" fontId="0" fillId="0" borderId="0" xfId="1" applyNumberFormat="1" applyFont="1" applyFill="1" applyProtection="1"/>
    <xf numFmtId="3" fontId="2" fillId="0" borderId="10" xfId="1" applyNumberFormat="1" applyFont="1" applyBorder="1" applyAlignment="1" applyProtection="1">
      <alignment horizontal="center"/>
    </xf>
    <xf numFmtId="3" fontId="18" fillId="7" borderId="0" xfId="0" applyNumberFormat="1" applyFont="1" applyFill="1" applyAlignment="1" applyProtection="1">
      <alignment horizontal="center"/>
    </xf>
    <xf numFmtId="4" fontId="18" fillId="7" borderId="0" xfId="0" applyNumberFormat="1" applyFont="1" applyFill="1" applyProtection="1"/>
    <xf numFmtId="4" fontId="11" fillId="7" borderId="0" xfId="1" applyNumberFormat="1" applyFont="1" applyFill="1" applyProtection="1"/>
    <xf numFmtId="165" fontId="11" fillId="7" borderId="0" xfId="1" applyNumberFormat="1" applyFont="1" applyFill="1" applyProtection="1"/>
    <xf numFmtId="165" fontId="2" fillId="7" borderId="0" xfId="1" applyNumberFormat="1" applyFont="1" applyFill="1" applyAlignment="1" applyProtection="1">
      <alignment horizontal="center"/>
    </xf>
    <xf numFmtId="4" fontId="2" fillId="7" borderId="0" xfId="1" applyNumberFormat="1" applyFont="1" applyFill="1" applyAlignment="1" applyProtection="1">
      <alignment horizontal="center"/>
    </xf>
    <xf numFmtId="3" fontId="15" fillId="7" borderId="0" xfId="1" applyNumberFormat="1" applyFont="1" applyFill="1" applyAlignment="1" applyProtection="1">
      <alignment horizontal="center"/>
    </xf>
    <xf numFmtId="3" fontId="11" fillId="7" borderId="0" xfId="1" applyNumberFormat="1" applyFont="1" applyFill="1" applyProtection="1"/>
    <xf numFmtId="4" fontId="0" fillId="7" borderId="0" xfId="0" applyNumberFormat="1" applyFill="1" applyProtection="1"/>
    <xf numFmtId="165" fontId="4" fillId="6" borderId="1" xfId="1" applyNumberFormat="1" applyFont="1" applyFill="1" applyBorder="1" applyProtection="1"/>
    <xf numFmtId="165" fontId="4" fillId="0" borderId="0" xfId="1" applyNumberFormat="1" applyFont="1" applyFill="1" applyBorder="1" applyProtection="1"/>
    <xf numFmtId="3" fontId="4" fillId="0" borderId="0" xfId="0" applyNumberFormat="1" applyFont="1" applyProtection="1"/>
    <xf numFmtId="4" fontId="0" fillId="0" borderId="0" xfId="0" applyNumberFormat="1" applyAlignment="1" applyProtection="1">
      <alignment wrapText="1"/>
    </xf>
    <xf numFmtId="4" fontId="0" fillId="0" borderId="11" xfId="0" applyNumberFormat="1" applyBorder="1" applyProtection="1"/>
    <xf numFmtId="3" fontId="4" fillId="0" borderId="0" xfId="0" quotePrefix="1" applyNumberFormat="1" applyFont="1" applyProtection="1"/>
    <xf numFmtId="4" fontId="4" fillId="0" borderId="0" xfId="0" applyNumberFormat="1" applyFont="1" applyFill="1" applyAlignment="1" applyProtection="1">
      <alignment wrapText="1"/>
    </xf>
    <xf numFmtId="167" fontId="2" fillId="0" borderId="0" xfId="0" applyNumberFormat="1" applyFont="1" applyProtection="1"/>
    <xf numFmtId="165" fontId="4" fillId="0" borderId="0" xfId="1" applyNumberFormat="1" applyFont="1" applyFill="1" applyProtection="1"/>
    <xf numFmtId="3" fontId="4" fillId="0" borderId="0" xfId="1" applyNumberFormat="1" applyFont="1" applyFill="1" applyProtection="1"/>
    <xf numFmtId="4" fontId="4" fillId="0" borderId="0" xfId="0" quotePrefix="1" applyNumberFormat="1" applyFont="1" applyProtection="1"/>
    <xf numFmtId="4" fontId="2" fillId="0" borderId="0" xfId="0" applyNumberFormat="1" applyFont="1" applyAlignment="1" applyProtection="1">
      <alignment wrapText="1"/>
    </xf>
    <xf numFmtId="4" fontId="2" fillId="0" borderId="0" xfId="0" applyNumberFormat="1" applyFont="1" applyFill="1" applyAlignment="1" applyProtection="1">
      <alignment horizontal="left"/>
    </xf>
    <xf numFmtId="4" fontId="2" fillId="7" borderId="0" xfId="0" applyNumberFormat="1" applyFont="1" applyFill="1" applyAlignment="1" applyProtection="1">
      <alignment horizontal="center"/>
    </xf>
    <xf numFmtId="3" fontId="4" fillId="0" borderId="0" xfId="0" applyNumberFormat="1" applyFont="1" applyAlignment="1" applyProtection="1">
      <alignment horizontal="left"/>
    </xf>
    <xf numFmtId="4" fontId="4" fillId="0" borderId="0" xfId="0" applyNumberFormat="1" applyFont="1" applyAlignment="1" applyProtection="1">
      <alignment wrapText="1"/>
    </xf>
    <xf numFmtId="165" fontId="11" fillId="6" borderId="1" xfId="1" applyNumberFormat="1" applyFont="1" applyFill="1" applyBorder="1" applyAlignment="1" applyProtection="1">
      <alignment horizontal="center"/>
    </xf>
    <xf numFmtId="4" fontId="4" fillId="6" borderId="1" xfId="1" applyNumberFormat="1" applyFont="1" applyFill="1" applyBorder="1" applyAlignment="1" applyProtection="1">
      <alignment horizontal="center"/>
    </xf>
    <xf numFmtId="3" fontId="11" fillId="6" borderId="1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Alignment="1" applyProtection="1">
      <alignment horizontal="left"/>
    </xf>
    <xf numFmtId="165" fontId="0" fillId="0" borderId="0" xfId="1" applyNumberFormat="1" applyFont="1" applyAlignment="1" applyProtection="1">
      <alignment horizontal="center"/>
    </xf>
    <xf numFmtId="4" fontId="4" fillId="0" borderId="0" xfId="1" applyNumberFormat="1" applyFont="1" applyAlignment="1" applyProtection="1">
      <alignment horizontal="center"/>
    </xf>
    <xf numFmtId="3" fontId="0" fillId="0" borderId="0" xfId="1" applyNumberFormat="1" applyFont="1" applyAlignment="1" applyProtection="1">
      <alignment horizontal="center"/>
    </xf>
    <xf numFmtId="4" fontId="4" fillId="0" borderId="0" xfId="0" applyNumberFormat="1" applyFont="1" applyFill="1" applyAlignment="1" applyProtection="1">
      <alignment horizontal="left"/>
    </xf>
    <xf numFmtId="4" fontId="11" fillId="6" borderId="1" xfId="1" applyNumberFormat="1" applyFont="1" applyFill="1" applyBorder="1" applyProtection="1"/>
    <xf numFmtId="4" fontId="10" fillId="6" borderId="1" xfId="0" applyNumberFormat="1" applyFont="1" applyFill="1" applyBorder="1" applyProtection="1"/>
    <xf numFmtId="165" fontId="11" fillId="6" borderId="1" xfId="1" applyNumberFormat="1" applyFont="1" applyFill="1" applyBorder="1" applyProtection="1"/>
    <xf numFmtId="165" fontId="4" fillId="0" borderId="0" xfId="1" applyNumberFormat="1" applyFont="1" applyProtection="1"/>
    <xf numFmtId="4" fontId="4" fillId="0" borderId="0" xfId="1" applyNumberFormat="1" applyFont="1" applyProtection="1"/>
    <xf numFmtId="4" fontId="4" fillId="0" borderId="0" xfId="0" applyNumberFormat="1" applyFont="1" applyAlignment="1" applyProtection="1">
      <alignment horizontal="left" wrapText="1"/>
    </xf>
    <xf numFmtId="3" fontId="11" fillId="6" borderId="1" xfId="1" applyNumberFormat="1" applyFont="1" applyFill="1" applyBorder="1" applyProtection="1"/>
    <xf numFmtId="4" fontId="0" fillId="0" borderId="0" xfId="1" applyNumberFormat="1" applyFont="1" applyFill="1" applyBorder="1" applyProtection="1"/>
    <xf numFmtId="1" fontId="11" fillId="6" borderId="1" xfId="1" applyNumberFormat="1" applyFont="1" applyFill="1" applyBorder="1" applyProtection="1"/>
    <xf numFmtId="166" fontId="11" fillId="6" borderId="1" xfId="1" applyNumberFormat="1" applyFont="1" applyFill="1" applyBorder="1" applyProtection="1"/>
    <xf numFmtId="3" fontId="4" fillId="0" borderId="0" xfId="0" applyNumberFormat="1" applyFont="1" applyBorder="1" applyProtection="1"/>
    <xf numFmtId="3" fontId="2" fillId="0" borderId="0" xfId="1" applyNumberFormat="1" applyFont="1" applyFill="1" applyBorder="1" applyProtection="1"/>
    <xf numFmtId="4" fontId="4" fillId="0" borderId="0" xfId="0" applyNumberFormat="1" applyFont="1" applyFill="1" applyAlignment="1" applyProtection="1">
      <alignment horizontal="left" wrapText="1"/>
    </xf>
    <xf numFmtId="165" fontId="11" fillId="0" borderId="0" xfId="1" applyNumberFormat="1" applyFont="1" applyFill="1" applyProtection="1"/>
    <xf numFmtId="4" fontId="11" fillId="0" borderId="0" xfId="1" applyNumberFormat="1" applyFont="1" applyFill="1" applyProtection="1"/>
    <xf numFmtId="3" fontId="11" fillId="0" borderId="0" xfId="1" applyNumberFormat="1" applyFont="1" applyFill="1" applyProtection="1"/>
    <xf numFmtId="4" fontId="9" fillId="0" borderId="0" xfId="0" applyNumberFormat="1" applyFont="1" applyAlignment="1" applyProtection="1">
      <alignment horizontal="left" wrapText="1"/>
    </xf>
    <xf numFmtId="3" fontId="2" fillId="0" borderId="0" xfId="1" applyNumberFormat="1" applyFont="1" applyBorder="1" applyProtection="1"/>
    <xf numFmtId="4" fontId="2" fillId="8" borderId="0" xfId="0" applyNumberFormat="1" applyFont="1" applyFill="1" applyProtection="1"/>
    <xf numFmtId="4" fontId="2" fillId="2" borderId="0" xfId="0" applyNumberFormat="1" applyFont="1" applyFill="1" applyAlignment="1" applyProtection="1">
      <alignment horizontal="left"/>
    </xf>
    <xf numFmtId="165" fontId="0" fillId="2" borderId="0" xfId="1" applyNumberFormat="1" applyFont="1" applyFill="1" applyProtection="1"/>
    <xf numFmtId="4" fontId="0" fillId="2" borderId="0" xfId="1" applyNumberFormat="1" applyFont="1" applyFill="1" applyProtection="1"/>
    <xf numFmtId="3" fontId="0" fillId="2" borderId="0" xfId="1" applyNumberFormat="1" applyFont="1" applyFill="1" applyProtection="1"/>
    <xf numFmtId="4" fontId="5" fillId="0" borderId="0" xfId="0" applyNumberFormat="1" applyFont="1" applyProtection="1"/>
    <xf numFmtId="4" fontId="5" fillId="0" borderId="0" xfId="0" applyNumberFormat="1" applyFont="1" applyAlignment="1" applyProtection="1">
      <alignment wrapText="1"/>
    </xf>
    <xf numFmtId="4" fontId="17" fillId="0" borderId="0" xfId="0" applyNumberFormat="1" applyFont="1" applyFill="1" applyProtection="1"/>
    <xf numFmtId="4" fontId="2" fillId="4" borderId="0" xfId="0" applyNumberFormat="1" applyFont="1" applyFill="1" applyProtection="1"/>
    <xf numFmtId="4" fontId="0" fillId="4" borderId="0" xfId="0" applyNumberFormat="1" applyFill="1" applyProtection="1"/>
    <xf numFmtId="4" fontId="0" fillId="4" borderId="0" xfId="1" applyNumberFormat="1" applyFont="1" applyFill="1" applyProtection="1"/>
    <xf numFmtId="165" fontId="0" fillId="4" borderId="0" xfId="1" applyNumberFormat="1" applyFont="1" applyFill="1" applyProtection="1"/>
    <xf numFmtId="3" fontId="0" fillId="4" borderId="0" xfId="1" applyNumberFormat="1" applyFont="1" applyFill="1" applyProtection="1"/>
    <xf numFmtId="4" fontId="2" fillId="4" borderId="12" xfId="1" applyNumberFormat="1" applyFont="1" applyFill="1" applyBorder="1" applyProtection="1"/>
    <xf numFmtId="4" fontId="5" fillId="0" borderId="0" xfId="0" applyNumberFormat="1" applyFont="1" applyAlignment="1" applyProtection="1">
      <alignment horizontal="center"/>
    </xf>
    <xf numFmtId="165" fontId="7" fillId="0" borderId="0" xfId="1" applyNumberFormat="1" applyFont="1" applyProtection="1"/>
    <xf numFmtId="0" fontId="5" fillId="0" borderId="0" xfId="0" applyFont="1" applyAlignment="1" applyProtection="1">
      <alignment horizontal="center"/>
    </xf>
    <xf numFmtId="166" fontId="4" fillId="0" borderId="0" xfId="0" applyNumberFormat="1" applyFont="1" applyFill="1" applyAlignment="1" applyProtection="1">
      <alignment horizontal="left"/>
    </xf>
    <xf numFmtId="4" fontId="2" fillId="9" borderId="0" xfId="0" applyNumberFormat="1" applyFont="1" applyFill="1" applyAlignment="1" applyProtection="1">
      <alignment horizontal="center"/>
    </xf>
    <xf numFmtId="4" fontId="4" fillId="9" borderId="0" xfId="0" applyNumberFormat="1" applyFont="1" applyFill="1" applyAlignment="1" applyProtection="1">
      <alignment wrapText="1"/>
    </xf>
    <xf numFmtId="4" fontId="2" fillId="9" borderId="0" xfId="1" applyNumberFormat="1" applyFont="1" applyFill="1" applyAlignment="1" applyProtection="1">
      <alignment horizontal="center"/>
    </xf>
    <xf numFmtId="165" fontId="2" fillId="9" borderId="0" xfId="1" applyNumberFormat="1" applyFont="1" applyFill="1" applyAlignment="1" applyProtection="1">
      <alignment horizontal="center"/>
    </xf>
    <xf numFmtId="3" fontId="15" fillId="9" borderId="0" xfId="1" applyNumberFormat="1" applyFont="1" applyFill="1" applyAlignment="1" applyProtection="1">
      <alignment horizontal="center"/>
    </xf>
    <xf numFmtId="3" fontId="4" fillId="9" borderId="0" xfId="1" applyNumberFormat="1" applyFont="1" applyFill="1" applyBorder="1" applyProtection="1"/>
    <xf numFmtId="4" fontId="2" fillId="9" borderId="0" xfId="0" applyNumberFormat="1" applyFont="1" applyFill="1" applyProtection="1"/>
    <xf numFmtId="4" fontId="0" fillId="9" borderId="0" xfId="0" applyNumberFormat="1" applyFill="1" applyProtection="1"/>
    <xf numFmtId="3" fontId="4" fillId="9" borderId="0" xfId="0" applyNumberFormat="1" applyFont="1" applyFill="1" applyBorder="1" applyProtection="1"/>
    <xf numFmtId="4" fontId="0" fillId="6" borderId="1" xfId="0" applyNumberFormat="1" applyFill="1" applyBorder="1" applyAlignment="1" applyProtection="1">
      <alignment wrapText="1"/>
      <protection locked="0"/>
    </xf>
    <xf numFmtId="167" fontId="2" fillId="0" borderId="0" xfId="0" applyNumberFormat="1" applyFont="1" applyProtection="1"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Protection="1">
      <protection locked="0"/>
    </xf>
    <xf numFmtId="3" fontId="4" fillId="0" borderId="0" xfId="0" quotePrefix="1" applyNumberFormat="1" applyFont="1" applyProtection="1">
      <protection locked="0"/>
    </xf>
    <xf numFmtId="3" fontId="19" fillId="0" borderId="0" xfId="1" applyNumberFormat="1" applyFont="1" applyBorder="1" applyProtection="1"/>
    <xf numFmtId="4" fontId="19" fillId="0" borderId="0" xfId="0" applyNumberFormat="1" applyFont="1" applyProtection="1"/>
    <xf numFmtId="4" fontId="4" fillId="10" borderId="1" xfId="1" applyNumberFormat="1" applyFont="1" applyFill="1" applyBorder="1" applyAlignment="1" applyProtection="1">
      <alignment horizontal="center"/>
      <protection locked="0"/>
    </xf>
    <xf numFmtId="165" fontId="11" fillId="10" borderId="1" xfId="1" applyNumberFormat="1" applyFont="1" applyFill="1" applyBorder="1" applyAlignment="1" applyProtection="1">
      <alignment horizontal="center"/>
      <protection locked="0"/>
    </xf>
    <xf numFmtId="3" fontId="11" fillId="10" borderId="1" xfId="1" applyNumberFormat="1" applyFont="1" applyFill="1" applyBorder="1" applyAlignment="1" applyProtection="1">
      <alignment horizontal="center"/>
      <protection locked="0"/>
    </xf>
    <xf numFmtId="4" fontId="19" fillId="10" borderId="1" xfId="1" applyNumberFormat="1" applyFont="1" applyFill="1" applyBorder="1" applyAlignment="1" applyProtection="1">
      <alignment horizontal="center"/>
      <protection locked="0"/>
    </xf>
    <xf numFmtId="165" fontId="19" fillId="10" borderId="1" xfId="1" applyNumberFormat="1" applyFont="1" applyFill="1" applyBorder="1" applyAlignment="1" applyProtection="1">
      <alignment horizontal="center"/>
      <protection locked="0"/>
    </xf>
    <xf numFmtId="3" fontId="19" fillId="10" borderId="1" xfId="1" applyNumberFormat="1" applyFont="1" applyFill="1" applyBorder="1" applyAlignment="1" applyProtection="1">
      <alignment horizontal="center"/>
      <protection locked="0"/>
    </xf>
    <xf numFmtId="0" fontId="12" fillId="11" borderId="12" xfId="0" applyFont="1" applyFill="1" applyBorder="1" applyAlignment="1" applyProtection="1">
      <alignment horizontal="center" vertical="center"/>
      <protection locked="0"/>
    </xf>
    <xf numFmtId="4" fontId="19" fillId="12" borderId="1" xfId="1" applyNumberFormat="1" applyFont="1" applyFill="1" applyBorder="1" applyAlignment="1" applyProtection="1">
      <alignment horizontal="center"/>
      <protection locked="0"/>
    </xf>
    <xf numFmtId="165" fontId="19" fillId="12" borderId="1" xfId="1" applyNumberFormat="1" applyFont="1" applyFill="1" applyBorder="1" applyAlignment="1" applyProtection="1">
      <alignment horizontal="center"/>
      <protection locked="0"/>
    </xf>
    <xf numFmtId="3" fontId="19" fillId="12" borderId="1" xfId="1" applyNumberFormat="1" applyFont="1" applyFill="1" applyBorder="1" applyAlignment="1" applyProtection="1">
      <alignment horizontal="center"/>
      <protection locked="0"/>
    </xf>
    <xf numFmtId="3" fontId="19" fillId="7" borderId="0" xfId="0" applyNumberFormat="1" applyFont="1" applyFill="1" applyAlignment="1" applyProtection="1">
      <alignment horizontal="left"/>
    </xf>
    <xf numFmtId="4" fontId="19" fillId="7" borderId="1" xfId="0" applyNumberFormat="1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center"/>
    </xf>
    <xf numFmtId="4" fontId="0" fillId="7" borderId="0" xfId="0" applyNumberFormat="1" applyFill="1" applyBorder="1" applyProtection="1"/>
    <xf numFmtId="4" fontId="4" fillId="0" borderId="0" xfId="0" applyNumberFormat="1" applyFont="1" applyFill="1" applyBorder="1" applyAlignment="1" applyProtection="1">
      <alignment horizontal="right"/>
    </xf>
    <xf numFmtId="3" fontId="2" fillId="2" borderId="0" xfId="1" applyNumberFormat="1" applyFont="1" applyFill="1" applyBorder="1" applyProtection="1"/>
    <xf numFmtId="3" fontId="0" fillId="2" borderId="0" xfId="1" applyNumberFormat="1" applyFont="1" applyFill="1" applyBorder="1" applyProtection="1"/>
    <xf numFmtId="9" fontId="2" fillId="0" borderId="0" xfId="1" applyNumberFormat="1" applyFont="1" applyFill="1" applyBorder="1" applyProtection="1"/>
    <xf numFmtId="4" fontId="2" fillId="4" borderId="0" xfId="1" applyNumberFormat="1" applyFont="1" applyFill="1" applyBorder="1" applyProtection="1"/>
    <xf numFmtId="4" fontId="4" fillId="7" borderId="0" xfId="0" applyNumberFormat="1" applyFont="1" applyFill="1" applyBorder="1" applyAlignment="1" applyProtection="1">
      <alignment horizontal="right"/>
    </xf>
    <xf numFmtId="10" fontId="4" fillId="0" borderId="0" xfId="0" applyNumberFormat="1" applyFont="1" applyFill="1" applyBorder="1" applyAlignment="1" applyProtection="1">
      <alignment horizontal="right"/>
    </xf>
    <xf numFmtId="10" fontId="4" fillId="7" borderId="0" xfId="0" applyNumberFormat="1" applyFont="1" applyFill="1" applyBorder="1" applyAlignment="1" applyProtection="1">
      <alignment horizontal="right"/>
    </xf>
    <xf numFmtId="10" fontId="0" fillId="2" borderId="0" xfId="1" applyNumberFormat="1" applyFont="1" applyFill="1" applyBorder="1" applyProtection="1"/>
    <xf numFmtId="10" fontId="0" fillId="0" borderId="0" xfId="0" applyNumberFormat="1" applyProtection="1"/>
    <xf numFmtId="10" fontId="0" fillId="7" borderId="0" xfId="0" applyNumberFormat="1" applyFill="1" applyProtection="1"/>
    <xf numFmtId="10" fontId="2" fillId="2" borderId="0" xfId="1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right"/>
    </xf>
    <xf numFmtId="10" fontId="19" fillId="0" borderId="0" xfId="0" applyNumberFormat="1" applyFont="1" applyFill="1" applyBorder="1" applyAlignment="1" applyProtection="1">
      <alignment horizontal="right"/>
    </xf>
    <xf numFmtId="4" fontId="2" fillId="6" borderId="11" xfId="0" applyNumberFormat="1" applyFont="1" applyFill="1" applyBorder="1" applyAlignment="1" applyProtection="1">
      <alignment horizontal="center"/>
    </xf>
    <xf numFmtId="4" fontId="0" fillId="6" borderId="11" xfId="0" applyNumberFormat="1" applyFill="1" applyBorder="1" applyProtection="1"/>
    <xf numFmtId="4" fontId="4" fillId="6" borderId="11" xfId="0" applyNumberFormat="1" applyFont="1" applyFill="1" applyBorder="1" applyAlignment="1" applyProtection="1">
      <alignment horizontal="right"/>
    </xf>
    <xf numFmtId="3" fontId="2" fillId="6" borderId="11" xfId="1" applyNumberFormat="1" applyFont="1" applyFill="1" applyBorder="1" applyProtection="1"/>
    <xf numFmtId="3" fontId="4" fillId="6" borderId="11" xfId="1" applyNumberFormat="1" applyFont="1" applyFill="1" applyBorder="1" applyProtection="1"/>
    <xf numFmtId="3" fontId="11" fillId="6" borderId="11" xfId="1" applyNumberFormat="1" applyFont="1" applyFill="1" applyBorder="1" applyProtection="1"/>
    <xf numFmtId="9" fontId="2" fillId="6" borderId="13" xfId="1" applyNumberFormat="1" applyFont="1" applyFill="1" applyBorder="1" applyProtection="1"/>
    <xf numFmtId="9" fontId="2" fillId="6" borderId="11" xfId="1" applyNumberFormat="1" applyFont="1" applyFill="1" applyBorder="1" applyProtection="1"/>
    <xf numFmtId="4" fontId="2" fillId="6" borderId="12" xfId="1" applyNumberFormat="1" applyFont="1" applyFill="1" applyBorder="1" applyProtection="1"/>
    <xf numFmtId="4" fontId="4" fillId="6" borderId="14" xfId="0" applyNumberFormat="1" applyFont="1" applyFill="1" applyBorder="1" applyAlignment="1" applyProtection="1">
      <alignment horizontal="right"/>
    </xf>
    <xf numFmtId="4" fontId="0" fillId="6" borderId="14" xfId="0" applyNumberFormat="1" applyFill="1" applyBorder="1" applyProtection="1"/>
    <xf numFmtId="4" fontId="2" fillId="6" borderId="14" xfId="0" applyNumberFormat="1" applyFont="1" applyFill="1" applyBorder="1" applyAlignment="1" applyProtection="1">
      <alignment horizontal="center"/>
    </xf>
    <xf numFmtId="3" fontId="2" fillId="6" borderId="14" xfId="1" applyNumberFormat="1" applyFont="1" applyFill="1" applyBorder="1" applyProtection="1"/>
    <xf numFmtId="3" fontId="4" fillId="6" borderId="14" xfId="1" applyNumberFormat="1" applyFont="1" applyFill="1" applyBorder="1" applyProtection="1"/>
    <xf numFmtId="3" fontId="11" fillId="6" borderId="14" xfId="1" applyNumberFormat="1" applyFont="1" applyFill="1" applyBorder="1" applyProtection="1"/>
    <xf numFmtId="4" fontId="0" fillId="0" borderId="1" xfId="0" applyNumberFormat="1" applyFill="1" applyBorder="1" applyProtection="1"/>
    <xf numFmtId="4" fontId="0" fillId="0" borderId="1" xfId="0" applyNumberFormat="1" applyBorder="1" applyProtection="1"/>
    <xf numFmtId="4" fontId="2" fillId="0" borderId="1" xfId="0" applyNumberFormat="1" applyFont="1" applyBorder="1" applyAlignment="1" applyProtection="1">
      <alignment horizontal="center"/>
    </xf>
    <xf numFmtId="3" fontId="2" fillId="0" borderId="1" xfId="1" applyNumberFormat="1" applyFont="1" applyFill="1" applyBorder="1" applyProtection="1"/>
    <xf numFmtId="4" fontId="2" fillId="7" borderId="1" xfId="0" applyNumberFormat="1" applyFont="1" applyFill="1" applyBorder="1" applyAlignment="1" applyProtection="1">
      <alignment horizontal="center"/>
    </xf>
    <xf numFmtId="3" fontId="4" fillId="0" borderId="1" xfId="1" applyNumberFormat="1" applyFont="1" applyBorder="1" applyProtection="1"/>
    <xf numFmtId="4" fontId="0" fillId="6" borderId="1" xfId="0" applyNumberFormat="1" applyFill="1" applyBorder="1" applyProtection="1"/>
    <xf numFmtId="3" fontId="2" fillId="6" borderId="1" xfId="1" applyNumberFormat="1" applyFont="1" applyFill="1" applyBorder="1" applyProtection="1"/>
    <xf numFmtId="4" fontId="4" fillId="6" borderId="1" xfId="0" applyNumberFormat="1" applyFont="1" applyFill="1" applyBorder="1" applyAlignment="1" applyProtection="1">
      <alignment horizontal="right"/>
    </xf>
    <xf numFmtId="3" fontId="11" fillId="6" borderId="1" xfId="1" applyNumberFormat="1" applyFont="1" applyFill="1" applyBorder="1" applyProtection="1"/>
    <xf numFmtId="3" fontId="2" fillId="0" borderId="15" xfId="1" applyNumberFormat="1" applyFont="1" applyFill="1" applyBorder="1" applyProtection="1"/>
    <xf numFmtId="3" fontId="2" fillId="6" borderId="13" xfId="1" applyNumberFormat="1" applyFont="1" applyFill="1" applyBorder="1" applyProtection="1"/>
    <xf numFmtId="10" fontId="2" fillId="0" borderId="0" xfId="1" applyNumberFormat="1" applyFont="1" applyFill="1" applyBorder="1" applyProtection="1"/>
    <xf numFmtId="0" fontId="12" fillId="6" borderId="16" xfId="0" applyFont="1" applyFill="1" applyBorder="1" applyAlignment="1" applyProtection="1">
      <alignment horizontal="center" vertical="center"/>
      <protection locked="0"/>
    </xf>
    <xf numFmtId="0" fontId="12" fillId="6" borderId="17" xfId="0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 applyProtection="1">
      <alignment horizontal="center" vertical="center"/>
      <protection locked="0"/>
    </xf>
    <xf numFmtId="0" fontId="12" fillId="6" borderId="20" xfId="0" applyFont="1" applyFill="1" applyBorder="1" applyAlignment="1" applyProtection="1">
      <alignment horizontal="center" vertical="center"/>
      <protection locked="0"/>
    </xf>
    <xf numFmtId="3" fontId="11" fillId="13" borderId="0" xfId="1" applyNumberFormat="1" applyFont="1" applyFill="1" applyProtection="1"/>
    <xf numFmtId="4" fontId="2" fillId="13" borderId="0" xfId="0" applyNumberFormat="1" applyFont="1" applyFill="1" applyProtection="1"/>
    <xf numFmtId="4" fontId="11" fillId="13" borderId="0" xfId="1" applyNumberFormat="1" applyFont="1" applyFill="1" applyProtection="1"/>
    <xf numFmtId="165" fontId="11" fillId="13" borderId="0" xfId="1" applyNumberFormat="1" applyFont="1" applyFill="1" applyProtection="1"/>
    <xf numFmtId="3" fontId="2" fillId="13" borderId="3" xfId="1" applyNumberFormat="1" applyFont="1" applyFill="1" applyBorder="1" applyProtection="1"/>
    <xf numFmtId="3" fontId="2" fillId="13" borderId="21" xfId="1" applyNumberFormat="1" applyFont="1" applyFill="1" applyBorder="1" applyProtection="1"/>
    <xf numFmtId="4" fontId="9" fillId="6" borderId="1" xfId="0" applyNumberFormat="1" applyFont="1" applyFill="1" applyBorder="1" applyProtection="1">
      <protection locked="0"/>
    </xf>
    <xf numFmtId="165" fontId="4" fillId="6" borderId="1" xfId="1" applyNumberFormat="1" applyFont="1" applyFill="1" applyBorder="1" applyAlignment="1" applyProtection="1">
      <alignment horizontal="center"/>
      <protection locked="0"/>
    </xf>
    <xf numFmtId="3" fontId="4" fillId="6" borderId="1" xfId="1" applyNumberFormat="1" applyFont="1" applyFill="1" applyBorder="1" applyAlignment="1" applyProtection="1">
      <alignment horizontal="center"/>
      <protection locked="0"/>
    </xf>
    <xf numFmtId="4" fontId="4" fillId="6" borderId="1" xfId="1" applyNumberFormat="1" applyFont="1" applyFill="1" applyBorder="1" applyAlignment="1" applyProtection="1">
      <alignment wrapText="1"/>
      <protection locked="0"/>
    </xf>
    <xf numFmtId="165" fontId="4" fillId="6" borderId="1" xfId="1" applyNumberFormat="1" applyFont="1" applyFill="1" applyBorder="1" applyAlignment="1" applyProtection="1">
      <alignment wrapText="1"/>
      <protection locked="0"/>
    </xf>
    <xf numFmtId="3" fontId="4" fillId="6" borderId="1" xfId="1" applyNumberFormat="1" applyFont="1" applyFill="1" applyBorder="1" applyAlignment="1" applyProtection="1">
      <alignment wrapText="1"/>
      <protection locked="0"/>
    </xf>
    <xf numFmtId="4" fontId="11" fillId="6" borderId="1" xfId="1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4" fontId="4" fillId="11" borderId="0" xfId="0" applyNumberFormat="1" applyFont="1" applyFill="1" applyAlignment="1" applyProtection="1">
      <alignment horizontal="left" wrapText="1"/>
    </xf>
    <xf numFmtId="4" fontId="4" fillId="6" borderId="1" xfId="1" applyNumberFormat="1" applyFont="1" applyFill="1" applyBorder="1" applyAlignment="1" applyProtection="1">
      <alignment horizontal="center" vertical="top"/>
      <protection locked="0"/>
    </xf>
    <xf numFmtId="3" fontId="2" fillId="4" borderId="3" xfId="1" applyNumberFormat="1" applyFont="1" applyFill="1" applyBorder="1" applyProtection="1"/>
    <xf numFmtId="1" fontId="4" fillId="6" borderId="1" xfId="1" applyNumberFormat="1" applyFont="1" applyFill="1" applyBorder="1" applyProtection="1">
      <protection locked="0"/>
    </xf>
    <xf numFmtId="166" fontId="4" fillId="6" borderId="1" xfId="1" applyNumberFormat="1" applyFont="1" applyFill="1" applyBorder="1" applyProtection="1">
      <protection locked="0"/>
    </xf>
    <xf numFmtId="167" fontId="16" fillId="6" borderId="1" xfId="1" applyNumberFormat="1" applyFont="1" applyFill="1" applyBorder="1" applyProtection="1"/>
    <xf numFmtId="169" fontId="16" fillId="6" borderId="1" xfId="1" applyNumberFormat="1" applyFont="1" applyFill="1" applyBorder="1" applyProtection="1"/>
    <xf numFmtId="3" fontId="0" fillId="0" borderId="0" xfId="0" applyNumberFormat="1" applyProtection="1"/>
    <xf numFmtId="4" fontId="0" fillId="14" borderId="1" xfId="0" applyNumberFormat="1" applyFont="1" applyFill="1" applyBorder="1" applyAlignment="1" applyProtection="1">
      <protection locked="0"/>
    </xf>
    <xf numFmtId="170" fontId="0" fillId="14" borderId="1" xfId="0" applyNumberFormat="1" applyFont="1" applyFill="1" applyBorder="1" applyAlignment="1" applyProtection="1">
      <protection locked="0"/>
    </xf>
    <xf numFmtId="3" fontId="0" fillId="14" borderId="1" xfId="0" applyNumberFormat="1" applyFont="1" applyFill="1" applyBorder="1" applyAlignment="1" applyProtection="1">
      <protection locked="0"/>
    </xf>
    <xf numFmtId="4" fontId="0" fillId="14" borderId="1" xfId="0" applyNumberFormat="1" applyFont="1" applyFill="1" applyBorder="1" applyAlignment="1" applyProtection="1">
      <alignment wrapText="1"/>
      <protection locked="0"/>
    </xf>
    <xf numFmtId="4" fontId="0" fillId="14" borderId="1" xfId="0" applyNumberFormat="1" applyFont="1" applyFill="1" applyBorder="1" applyAlignment="1" applyProtection="1">
      <alignment wrapText="1"/>
    </xf>
    <xf numFmtId="4" fontId="0" fillId="14" borderId="1" xfId="0" applyNumberFormat="1" applyFont="1" applyFill="1" applyBorder="1" applyAlignment="1" applyProtection="1">
      <alignment horizontal="center"/>
      <protection locked="0"/>
    </xf>
    <xf numFmtId="170" fontId="0" fillId="14" borderId="1" xfId="0" applyNumberFormat="1" applyFont="1" applyFill="1" applyBorder="1" applyAlignment="1" applyProtection="1">
      <alignment horizontal="center"/>
      <protection locked="0"/>
    </xf>
    <xf numFmtId="3" fontId="0" fillId="14" borderId="1" xfId="0" applyNumberFormat="1" applyFont="1" applyFill="1" applyBorder="1" applyAlignment="1" applyProtection="1">
      <alignment horizontal="center"/>
      <protection locked="0"/>
    </xf>
    <xf numFmtId="171" fontId="0" fillId="14" borderId="1" xfId="0" applyNumberFormat="1" applyFont="1" applyFill="1" applyBorder="1" applyAlignment="1" applyProtection="1">
      <alignment horizontal="center"/>
      <protection locked="0"/>
    </xf>
    <xf numFmtId="4" fontId="0" fillId="15" borderId="1" xfId="0" applyNumberFormat="1" applyFont="1" applyFill="1" applyBorder="1" applyAlignment="1" applyProtection="1">
      <alignment horizontal="center"/>
      <protection locked="0"/>
    </xf>
    <xf numFmtId="171" fontId="0" fillId="15" borderId="1" xfId="0" applyNumberFormat="1" applyFont="1" applyFill="1" applyBorder="1" applyAlignment="1" applyProtection="1">
      <alignment horizontal="center"/>
      <protection locked="0"/>
    </xf>
    <xf numFmtId="4" fontId="20" fillId="14" borderId="1" xfId="0" applyNumberFormat="1" applyFont="1" applyFill="1" applyBorder="1" applyProtection="1">
      <protection locked="0"/>
    </xf>
    <xf numFmtId="4" fontId="0" fillId="0" borderId="0" xfId="0" applyNumberFormat="1" applyFont="1" applyAlignment="1" applyProtection="1">
      <alignment wrapText="1"/>
    </xf>
    <xf numFmtId="1" fontId="0" fillId="14" borderId="1" xfId="0" applyNumberFormat="1" applyFont="1" applyFill="1" applyBorder="1" applyAlignment="1" applyProtection="1">
      <protection locked="0"/>
    </xf>
    <xf numFmtId="166" fontId="0" fillId="14" borderId="1" xfId="0" applyNumberFormat="1" applyFont="1" applyFill="1" applyBorder="1" applyAlignment="1" applyProtection="1">
      <protection locked="0"/>
    </xf>
    <xf numFmtId="4" fontId="20" fillId="14" borderId="0" xfId="0" applyNumberFormat="1" applyFont="1" applyFill="1" applyBorder="1" applyProtection="1">
      <protection locked="0"/>
    </xf>
    <xf numFmtId="4" fontId="0" fillId="14" borderId="0" xfId="0" applyNumberFormat="1" applyFont="1" applyFill="1" applyBorder="1" applyAlignment="1" applyProtection="1">
      <protection locked="0"/>
    </xf>
    <xf numFmtId="170" fontId="0" fillId="14" borderId="0" xfId="0" applyNumberFormat="1" applyFont="1" applyFill="1" applyBorder="1" applyAlignment="1" applyProtection="1">
      <protection locked="0"/>
    </xf>
    <xf numFmtId="4" fontId="11" fillId="6" borderId="1" xfId="1" applyNumberFormat="1" applyFont="1" applyFill="1" applyBorder="1" applyProtection="1">
      <protection locked="0"/>
    </xf>
    <xf numFmtId="3" fontId="19" fillId="0" borderId="0" xfId="0" applyNumberFormat="1" applyFont="1" applyProtection="1"/>
    <xf numFmtId="3" fontId="0" fillId="0" borderId="0" xfId="0" applyNumberFormat="1" applyFill="1" applyBorder="1" applyProtection="1"/>
    <xf numFmtId="3" fontId="0" fillId="0" borderId="0" xfId="0" applyNumberFormat="1" applyFill="1" applyProtection="1"/>
    <xf numFmtId="3" fontId="4" fillId="0" borderId="0" xfId="0" applyNumberFormat="1" applyFont="1" applyFill="1" applyAlignment="1" applyProtection="1">
      <alignment horizontal="right"/>
    </xf>
    <xf numFmtId="3" fontId="2" fillId="2" borderId="22" xfId="1" applyNumberFormat="1" applyFont="1" applyFill="1" applyBorder="1" applyProtection="1"/>
    <xf numFmtId="9" fontId="21" fillId="0" borderId="23" xfId="0" applyNumberFormat="1" applyFont="1" applyBorder="1" applyAlignment="1" applyProtection="1">
      <alignment horizontal="center" vertical="center"/>
    </xf>
    <xf numFmtId="9" fontId="21" fillId="0" borderId="24" xfId="0" applyNumberFormat="1" applyFont="1" applyBorder="1" applyAlignment="1" applyProtection="1">
      <alignment horizontal="center" vertical="center"/>
    </xf>
    <xf numFmtId="9" fontId="21" fillId="0" borderId="25" xfId="0" applyNumberFormat="1" applyFont="1" applyBorder="1" applyAlignment="1" applyProtection="1">
      <alignment horizontal="center" vertical="center"/>
    </xf>
    <xf numFmtId="9" fontId="21" fillId="0" borderId="26" xfId="0" applyNumberFormat="1" applyFont="1" applyBorder="1" applyAlignment="1" applyProtection="1">
      <alignment horizontal="center" vertical="center"/>
    </xf>
    <xf numFmtId="9" fontId="21" fillId="0" borderId="27" xfId="0" applyNumberFormat="1" applyFont="1" applyBorder="1" applyAlignment="1" applyProtection="1">
      <alignment horizontal="center" vertical="center"/>
    </xf>
    <xf numFmtId="9" fontId="21" fillId="0" borderId="1" xfId="0" applyNumberFormat="1" applyFont="1" applyBorder="1" applyAlignment="1" applyProtection="1">
      <alignment horizontal="center" vertical="center"/>
    </xf>
    <xf numFmtId="9" fontId="21" fillId="0" borderId="28" xfId="0" applyNumberFormat="1" applyFont="1" applyBorder="1" applyAlignment="1" applyProtection="1">
      <alignment horizontal="center" vertical="center"/>
    </xf>
    <xf numFmtId="9" fontId="21" fillId="0" borderId="22" xfId="0" applyNumberFormat="1" applyFont="1" applyBorder="1" applyAlignment="1" applyProtection="1">
      <alignment horizontal="center" vertical="center"/>
    </xf>
    <xf numFmtId="9" fontId="21" fillId="0" borderId="5" xfId="0" applyNumberFormat="1" applyFont="1" applyBorder="1" applyAlignment="1" applyProtection="1">
      <alignment horizontal="center" vertical="center"/>
    </xf>
    <xf numFmtId="9" fontId="21" fillId="0" borderId="6" xfId="0" applyNumberFormat="1" applyFont="1" applyBorder="1" applyAlignment="1" applyProtection="1">
      <alignment horizontal="center" vertical="center"/>
    </xf>
    <xf numFmtId="9" fontId="21" fillId="0" borderId="16" xfId="0" applyNumberFormat="1" applyFont="1" applyBorder="1" applyAlignment="1" applyProtection="1">
      <alignment horizontal="center" vertical="center"/>
    </xf>
    <xf numFmtId="9" fontId="21" fillId="16" borderId="27" xfId="0" applyNumberFormat="1" applyFont="1" applyFill="1" applyBorder="1" applyAlignment="1" applyProtection="1">
      <alignment horizontal="center" vertical="center"/>
    </xf>
    <xf numFmtId="9" fontId="21" fillId="16" borderId="1" xfId="0" applyNumberFormat="1" applyFont="1" applyFill="1" applyBorder="1" applyAlignment="1" applyProtection="1">
      <alignment horizontal="center" vertical="center"/>
    </xf>
    <xf numFmtId="9" fontId="21" fillId="16" borderId="28" xfId="0" applyNumberFormat="1" applyFont="1" applyFill="1" applyBorder="1" applyAlignment="1" applyProtection="1">
      <alignment horizontal="center" vertical="center"/>
    </xf>
    <xf numFmtId="9" fontId="21" fillId="16" borderId="22" xfId="0" applyNumberFormat="1" applyFont="1" applyFill="1" applyBorder="1" applyAlignment="1" applyProtection="1">
      <alignment horizontal="center" vertical="center"/>
    </xf>
    <xf numFmtId="4" fontId="4" fillId="6" borderId="0" xfId="1" applyNumberFormat="1" applyFont="1" applyFill="1" applyBorder="1" applyProtection="1">
      <protection locked="0"/>
    </xf>
    <xf numFmtId="165" fontId="4" fillId="6" borderId="0" xfId="1" applyNumberFormat="1" applyFont="1" applyFill="1" applyBorder="1" applyProtection="1">
      <protection locked="0"/>
    </xf>
    <xf numFmtId="3" fontId="4" fillId="6" borderId="0" xfId="1" applyNumberFormat="1" applyFont="1" applyFill="1" applyBorder="1" applyProtection="1">
      <protection locked="0"/>
    </xf>
    <xf numFmtId="4" fontId="4" fillId="11" borderId="0" xfId="0" applyNumberFormat="1" applyFont="1" applyFill="1" applyProtection="1"/>
    <xf numFmtId="4" fontId="0" fillId="11" borderId="0" xfId="0" applyNumberFormat="1" applyFill="1" applyProtection="1"/>
    <xf numFmtId="4" fontId="0" fillId="11" borderId="11" xfId="0" applyNumberFormat="1" applyFill="1" applyBorder="1" applyProtection="1"/>
    <xf numFmtId="4" fontId="0" fillId="11" borderId="14" xfId="0" applyNumberFormat="1" applyFill="1" applyBorder="1" applyProtection="1"/>
    <xf numFmtId="4" fontId="0" fillId="11" borderId="1" xfId="0" applyNumberFormat="1" applyFill="1" applyBorder="1" applyProtection="1"/>
    <xf numFmtId="4" fontId="4" fillId="11" borderId="0" xfId="0" applyNumberFormat="1" applyFont="1" applyFill="1" applyBorder="1" applyAlignment="1" applyProtection="1">
      <alignment horizontal="right"/>
    </xf>
    <xf numFmtId="10" fontId="4" fillId="11" borderId="0" xfId="0" applyNumberFormat="1" applyFont="1" applyFill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wrapText="1"/>
    </xf>
    <xf numFmtId="9" fontId="21" fillId="16" borderId="23" xfId="0" applyNumberFormat="1" applyFont="1" applyFill="1" applyBorder="1" applyAlignment="1" applyProtection="1">
      <alignment horizontal="center" vertical="center"/>
    </xf>
    <xf numFmtId="4" fontId="4" fillId="0" borderId="36" xfId="0" applyNumberFormat="1" applyFont="1" applyBorder="1" applyAlignment="1" applyProtection="1">
      <alignment wrapText="1"/>
    </xf>
    <xf numFmtId="9" fontId="21" fillId="16" borderId="32" xfId="0" applyNumberFormat="1" applyFont="1" applyFill="1" applyBorder="1" applyAlignment="1" applyProtection="1">
      <alignment horizontal="center" vertical="center"/>
    </xf>
    <xf numFmtId="9" fontId="21" fillId="16" borderId="33" xfId="0" applyNumberFormat="1" applyFont="1" applyFill="1" applyBorder="1" applyAlignment="1" applyProtection="1">
      <alignment horizontal="center" vertical="center"/>
    </xf>
    <xf numFmtId="9" fontId="21" fillId="0" borderId="33" xfId="0" applyNumberFormat="1" applyFont="1" applyBorder="1" applyAlignment="1" applyProtection="1">
      <alignment horizontal="center" vertical="center"/>
    </xf>
    <xf numFmtId="9" fontId="21" fillId="16" borderId="35" xfId="0" applyNumberFormat="1" applyFont="1" applyFill="1" applyBorder="1" applyAlignment="1" applyProtection="1">
      <alignment horizontal="center" vertical="center"/>
    </xf>
    <xf numFmtId="9" fontId="21" fillId="0" borderId="34" xfId="0" applyNumberFormat="1" applyFont="1" applyBorder="1" applyAlignment="1" applyProtection="1">
      <alignment horizontal="center" vertical="center"/>
    </xf>
    <xf numFmtId="9" fontId="21" fillId="0" borderId="35" xfId="0" applyNumberFormat="1" applyFont="1" applyBorder="1" applyAlignment="1" applyProtection="1">
      <alignment horizontal="center" vertical="center"/>
    </xf>
    <xf numFmtId="4" fontId="4" fillId="0" borderId="8" xfId="0" applyNumberFormat="1" applyFont="1" applyFill="1" applyBorder="1" applyAlignment="1" applyProtection="1">
      <alignment wrapText="1"/>
    </xf>
    <xf numFmtId="9" fontId="21" fillId="0" borderId="4" xfId="0" applyNumberFormat="1" applyFont="1" applyBorder="1" applyAlignment="1" applyProtection="1">
      <alignment horizontal="center" vertical="center"/>
    </xf>
    <xf numFmtId="9" fontId="21" fillId="16" borderId="16" xfId="0" applyNumberFormat="1" applyFont="1" applyFill="1" applyBorder="1" applyAlignment="1" applyProtection="1">
      <alignment horizontal="center" vertical="center"/>
    </xf>
    <xf numFmtId="4" fontId="1" fillId="6" borderId="1" xfId="1" applyNumberFormat="1" applyFont="1" applyFill="1" applyBorder="1" applyAlignment="1" applyProtection="1">
      <alignment horizontal="center"/>
      <protection locked="0"/>
    </xf>
    <xf numFmtId="4" fontId="1" fillId="6" borderId="1" xfId="1" applyNumberFormat="1" applyFont="1" applyFill="1" applyBorder="1" applyAlignment="1" applyProtection="1">
      <alignment wrapText="1"/>
      <protection locked="0"/>
    </xf>
    <xf numFmtId="3" fontId="15" fillId="11" borderId="0" xfId="1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 wrapText="1"/>
    </xf>
    <xf numFmtId="4" fontId="1" fillId="6" borderId="1" xfId="1" applyNumberFormat="1" applyFont="1" applyFill="1" applyBorder="1" applyProtection="1">
      <protection locked="0"/>
    </xf>
    <xf numFmtId="4" fontId="0" fillId="0" borderId="0" xfId="0" applyNumberFormat="1" applyAlignment="1" applyProtection="1">
      <alignment vertical="center" wrapText="1"/>
    </xf>
    <xf numFmtId="3" fontId="1" fillId="0" borderId="0" xfId="1" applyNumberFormat="1" applyFont="1" applyProtection="1"/>
    <xf numFmtId="4" fontId="1" fillId="0" borderId="0" xfId="0" applyNumberFormat="1" applyFont="1" applyFill="1" applyAlignment="1" applyProtection="1">
      <alignment horizontal="left" vertical="top" wrapText="1"/>
    </xf>
    <xf numFmtId="4" fontId="1" fillId="6" borderId="1" xfId="0" applyNumberFormat="1" applyFont="1" applyFill="1" applyBorder="1" applyAlignment="1" applyProtection="1">
      <alignment wrapText="1"/>
    </xf>
    <xf numFmtId="0" fontId="22" fillId="0" borderId="0" xfId="0" applyFont="1"/>
    <xf numFmtId="4" fontId="9" fillId="0" borderId="0" xfId="0" applyNumberFormat="1" applyFont="1" applyFill="1" applyProtection="1"/>
    <xf numFmtId="3" fontId="1" fillId="6" borderId="1" xfId="1" applyNumberFormat="1" applyFont="1" applyFill="1" applyBorder="1" applyAlignment="1" applyProtection="1">
      <alignment horizontal="center"/>
      <protection locked="0"/>
    </xf>
    <xf numFmtId="166" fontId="0" fillId="17" borderId="1" xfId="0" applyNumberFormat="1" applyFont="1" applyFill="1" applyBorder="1" applyAlignment="1" applyProtection="1">
      <protection locked="0"/>
    </xf>
    <xf numFmtId="3" fontId="0" fillId="17" borderId="1" xfId="0" applyNumberFormat="1" applyFont="1" applyFill="1" applyBorder="1" applyAlignment="1" applyProtection="1">
      <protection locked="0"/>
    </xf>
    <xf numFmtId="3" fontId="2" fillId="13" borderId="0" xfId="1" applyNumberFormat="1" applyFont="1" applyFill="1" applyBorder="1" applyProtection="1"/>
    <xf numFmtId="4" fontId="2" fillId="4" borderId="37" xfId="1" applyNumberFormat="1" applyFont="1" applyFill="1" applyBorder="1" applyProtection="1"/>
    <xf numFmtId="3" fontId="4" fillId="11" borderId="0" xfId="0" quotePrefix="1" applyNumberFormat="1" applyFont="1" applyFill="1" applyProtection="1"/>
    <xf numFmtId="1" fontId="4" fillId="11" borderId="0" xfId="1" applyNumberFormat="1" applyFont="1" applyFill="1" applyBorder="1" applyProtection="1"/>
    <xf numFmtId="4" fontId="4" fillId="11" borderId="0" xfId="0" applyNumberFormat="1" applyFont="1" applyFill="1" applyAlignment="1" applyProtection="1">
      <alignment horizontal="right"/>
    </xf>
    <xf numFmtId="4" fontId="2" fillId="9" borderId="0" xfId="0" applyNumberFormat="1" applyFont="1" applyFill="1" applyAlignment="1" applyProtection="1">
      <alignment horizontal="left"/>
    </xf>
    <xf numFmtId="4" fontId="0" fillId="9" borderId="0" xfId="1" applyNumberFormat="1" applyFont="1" applyFill="1" applyProtection="1"/>
    <xf numFmtId="165" fontId="0" fillId="9" borderId="0" xfId="1" applyNumberFormat="1" applyFont="1" applyFill="1" applyProtection="1"/>
    <xf numFmtId="3" fontId="0" fillId="9" borderId="0" xfId="1" applyNumberFormat="1" applyFont="1" applyFill="1" applyProtection="1"/>
    <xf numFmtId="3" fontId="2" fillId="9" borderId="11" xfId="1" applyNumberFormat="1" applyFont="1" applyFill="1" applyBorder="1" applyProtection="1"/>
    <xf numFmtId="3" fontId="2" fillId="9" borderId="14" xfId="1" applyNumberFormat="1" applyFont="1" applyFill="1" applyBorder="1" applyProtection="1"/>
    <xf numFmtId="3" fontId="2" fillId="9" borderId="1" xfId="1" applyNumberFormat="1" applyFont="1" applyFill="1" applyBorder="1" applyProtection="1"/>
    <xf numFmtId="3" fontId="2" fillId="9" borderId="0" xfId="1" applyNumberFormat="1" applyFont="1" applyFill="1" applyBorder="1" applyProtection="1"/>
    <xf numFmtId="10" fontId="2" fillId="9" borderId="0" xfId="1" applyNumberFormat="1" applyFont="1" applyFill="1" applyBorder="1" applyProtection="1"/>
    <xf numFmtId="3" fontId="2" fillId="9" borderId="3" xfId="1" applyNumberFormat="1" applyFont="1" applyFill="1" applyBorder="1" applyProtection="1"/>
    <xf numFmtId="3" fontId="2" fillId="9" borderId="15" xfId="1" applyNumberFormat="1" applyFont="1" applyFill="1" applyBorder="1" applyProtection="1"/>
    <xf numFmtId="3" fontId="2" fillId="0" borderId="0" xfId="1" applyNumberFormat="1" applyFont="1" applyAlignment="1" applyProtection="1">
      <alignment horizontal="center"/>
    </xf>
    <xf numFmtId="3" fontId="0" fillId="0" borderId="0" xfId="0" applyNumberFormat="1" applyAlignment="1" applyProtection="1"/>
    <xf numFmtId="0" fontId="0" fillId="0" borderId="0" xfId="0" applyAlignment="1" applyProtection="1"/>
    <xf numFmtId="4" fontId="2" fillId="0" borderId="29" xfId="0" applyNumberFormat="1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horizontal="center" wrapText="1"/>
    </xf>
    <xf numFmtId="3" fontId="5" fillId="0" borderId="0" xfId="1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0" fontId="13" fillId="7" borderId="34" xfId="0" applyFont="1" applyFill="1" applyBorder="1" applyAlignment="1" applyProtection="1">
      <alignment horizontal="center" vertical="center" wrapText="1"/>
      <protection locked="0"/>
    </xf>
    <xf numFmtId="0" fontId="13" fillId="7" borderId="35" xfId="0" applyFont="1" applyFill="1" applyBorder="1" applyAlignment="1" applyProtection="1">
      <alignment horizontal="center" vertical="center" wrapText="1"/>
      <protection locked="0"/>
    </xf>
    <xf numFmtId="0" fontId="13" fillId="7" borderId="17" xfId="0" applyFont="1" applyFill="1" applyBorder="1" applyAlignment="1" applyProtection="1">
      <alignment horizontal="center" vertical="center" wrapText="1"/>
      <protection locked="0"/>
    </xf>
    <xf numFmtId="0" fontId="13" fillId="7" borderId="18" xfId="0" applyFont="1" applyFill="1" applyBorder="1" applyAlignment="1" applyProtection="1">
      <alignment horizontal="center" vertical="center" wrapText="1"/>
      <protection locked="0"/>
    </xf>
    <xf numFmtId="0" fontId="13" fillId="7" borderId="20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3" fontId="1" fillId="0" borderId="0" xfId="1" applyNumberFormat="1" applyFont="1" applyAlignment="1" applyProtection="1">
      <alignment horizontal="center" wrapText="1"/>
    </xf>
    <xf numFmtId="4" fontId="2" fillId="4" borderId="0" xfId="0" applyNumberFormat="1" applyFont="1" applyFill="1" applyAlignment="1" applyProtection="1">
      <alignment horizontal="center"/>
    </xf>
    <xf numFmtId="4" fontId="4" fillId="0" borderId="0" xfId="0" applyNumberFormat="1" applyFont="1" applyAlignment="1" applyProtection="1">
      <alignment horizontal="center" wrapText="1"/>
    </xf>
    <xf numFmtId="4" fontId="0" fillId="0" borderId="0" xfId="0" applyNumberFormat="1" applyAlignment="1" applyProtection="1">
      <alignment horizontal="center" wrapText="1"/>
    </xf>
  </cellXfs>
  <cellStyles count="3">
    <cellStyle name="Comma" xfId="1" builtinId="3"/>
    <cellStyle name="Comma0" xfId="2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7"/>
  <sheetViews>
    <sheetView tabSelected="1" view="pageBreakPreview" zoomScaleNormal="100" zoomScaleSheetLayoutView="100" workbookViewId="0">
      <pane ySplit="14" topLeftCell="A198" activePane="bottomLeft" state="frozen"/>
      <selection pane="bottomLeft" activeCell="J205" sqref="J205"/>
    </sheetView>
  </sheetViews>
  <sheetFormatPr defaultColWidth="9.109375" defaultRowHeight="13.2" x14ac:dyDescent="0.25"/>
  <cols>
    <col min="1" max="1" width="6.33203125" style="70" customWidth="1"/>
    <col min="2" max="2" width="37.44140625" style="49" customWidth="1"/>
    <col min="3" max="3" width="11.33203125" style="71" customWidth="1"/>
    <col min="4" max="7" width="10.33203125" style="72" customWidth="1"/>
    <col min="8" max="8" width="12.109375" style="73" customWidth="1"/>
    <col min="9" max="9" width="16.5546875" style="73" customWidth="1"/>
    <col min="10" max="10" width="16.44140625" style="49" customWidth="1"/>
    <col min="11" max="20" width="10.109375" style="49" hidden="1" customWidth="1"/>
    <col min="21" max="23" width="12.5546875" style="49" hidden="1" customWidth="1"/>
    <col min="24" max="25" width="10.109375" style="49" hidden="1" customWidth="1"/>
    <col min="26" max="26" width="9.109375" style="49" hidden="1" customWidth="1"/>
    <col min="27" max="27" width="4.33203125" style="49" hidden="1" customWidth="1"/>
    <col min="28" max="28" width="18.33203125" style="49" customWidth="1"/>
    <col min="29" max="16384" width="9.109375" style="49"/>
  </cols>
  <sheetData>
    <row r="1" spans="1:30" x14ac:dyDescent="0.25">
      <c r="A1" s="387" t="s">
        <v>62</v>
      </c>
      <c r="B1" s="388"/>
      <c r="C1" s="388"/>
      <c r="D1" s="388"/>
      <c r="E1" s="388"/>
      <c r="F1" s="388"/>
      <c r="G1" s="388"/>
      <c r="H1" s="388"/>
      <c r="I1" s="388"/>
      <c r="J1" s="38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30" x14ac:dyDescent="0.25">
      <c r="A2" s="67"/>
      <c r="B2" s="68"/>
      <c r="C2" s="68"/>
      <c r="D2" s="68"/>
      <c r="E2" s="68"/>
      <c r="F2" s="68"/>
      <c r="G2" s="68"/>
      <c r="H2" s="68"/>
      <c r="I2" s="68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30" x14ac:dyDescent="0.25">
      <c r="A3" s="70" t="s">
        <v>757</v>
      </c>
      <c r="I3" s="74"/>
    </row>
    <row r="4" spans="1:30" hidden="1" x14ac:dyDescent="0.25">
      <c r="B4" s="75" t="s">
        <v>25</v>
      </c>
      <c r="C4" s="76">
        <v>1</v>
      </c>
      <c r="I4" s="74"/>
      <c r="AB4" s="77"/>
    </row>
    <row r="5" spans="1:30" hidden="1" x14ac:dyDescent="0.25">
      <c r="B5" s="78" t="s">
        <v>166</v>
      </c>
      <c r="I5" s="74"/>
    </row>
    <row r="6" spans="1:30" x14ac:dyDescent="0.25">
      <c r="B6" s="79"/>
    </row>
    <row r="7" spans="1:30" x14ac:dyDescent="0.25">
      <c r="A7" s="70" t="s">
        <v>23</v>
      </c>
    </row>
    <row r="8" spans="1:30" x14ac:dyDescent="0.25">
      <c r="A8" s="70" t="s">
        <v>63</v>
      </c>
      <c r="C8" s="367" t="s">
        <v>837</v>
      </c>
      <c r="D8" s="122"/>
      <c r="E8" s="122"/>
    </row>
    <row r="9" spans="1:30" x14ac:dyDescent="0.25">
      <c r="A9" s="70" t="s">
        <v>64</v>
      </c>
      <c r="C9" s="109" t="s">
        <v>835</v>
      </c>
      <c r="D9" s="122"/>
      <c r="E9" s="122"/>
    </row>
    <row r="10" spans="1:30" x14ac:dyDescent="0.25">
      <c r="A10" s="70" t="s">
        <v>52</v>
      </c>
      <c r="C10" s="2" t="s">
        <v>836</v>
      </c>
      <c r="D10" s="122"/>
      <c r="E10" s="122"/>
    </row>
    <row r="11" spans="1:30" x14ac:dyDescent="0.25">
      <c r="B11" s="70"/>
      <c r="C11" s="81"/>
      <c r="D11" s="82"/>
      <c r="E11" s="82"/>
      <c r="F11" s="82"/>
      <c r="G11" s="82"/>
      <c r="H11" s="67"/>
      <c r="I11" s="83" t="s">
        <v>65</v>
      </c>
      <c r="J11" s="83" t="s">
        <v>65</v>
      </c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 t="s">
        <v>289</v>
      </c>
      <c r="V11" s="83" t="s">
        <v>290</v>
      </c>
      <c r="W11" s="83" t="s">
        <v>290</v>
      </c>
      <c r="X11" s="83" t="s">
        <v>289</v>
      </c>
      <c r="Y11" s="83" t="s">
        <v>290</v>
      </c>
      <c r="Z11" s="87" t="s">
        <v>290</v>
      </c>
      <c r="AA11" s="87" t="s">
        <v>292</v>
      </c>
      <c r="AC11" s="84"/>
      <c r="AD11" s="84"/>
    </row>
    <row r="12" spans="1:30" ht="13.8" thickBot="1" x14ac:dyDescent="0.3">
      <c r="B12" s="70"/>
      <c r="C12" s="81"/>
      <c r="D12" s="82"/>
      <c r="E12" s="82"/>
      <c r="F12" s="82"/>
      <c r="G12" s="82"/>
      <c r="H12" s="67"/>
      <c r="I12" s="83" t="s">
        <v>5</v>
      </c>
      <c r="J12" s="83" t="s">
        <v>5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6"/>
      <c r="V12" s="83"/>
      <c r="W12" s="83"/>
      <c r="X12" s="83"/>
      <c r="Y12" s="83"/>
      <c r="Z12" s="84"/>
      <c r="AA12" s="84"/>
      <c r="AB12" s="84"/>
      <c r="AC12" s="84"/>
      <c r="AD12" s="84"/>
    </row>
    <row r="13" spans="1:30" ht="13.8" thickBot="1" x14ac:dyDescent="0.3">
      <c r="A13" s="85" t="s">
        <v>43</v>
      </c>
      <c r="C13" s="81"/>
      <c r="D13" s="82"/>
      <c r="E13" s="82"/>
      <c r="F13" s="82"/>
      <c r="G13" s="82"/>
      <c r="H13" s="86"/>
      <c r="I13" s="86" t="s">
        <v>20</v>
      </c>
      <c r="J13" s="87" t="s">
        <v>4</v>
      </c>
      <c r="K13" s="390" t="s">
        <v>179</v>
      </c>
      <c r="L13" s="391"/>
      <c r="M13" s="391"/>
      <c r="N13" s="391"/>
      <c r="O13" s="391"/>
      <c r="P13" s="391"/>
      <c r="Q13" s="391"/>
      <c r="R13" s="391"/>
      <c r="S13" s="391"/>
      <c r="T13" s="392"/>
      <c r="U13" s="86" t="s">
        <v>20</v>
      </c>
      <c r="V13" s="86" t="s">
        <v>20</v>
      </c>
      <c r="W13" s="222" t="s">
        <v>291</v>
      </c>
      <c r="X13" s="222" t="s">
        <v>4</v>
      </c>
      <c r="Y13" s="222" t="s">
        <v>4</v>
      </c>
      <c r="Z13" s="87" t="s">
        <v>291</v>
      </c>
      <c r="AA13" s="87"/>
      <c r="AB13" s="84"/>
      <c r="AC13" s="84"/>
      <c r="AD13" s="84"/>
    </row>
    <row r="14" spans="1:30" s="89" customFormat="1" ht="13.8" thickBot="1" x14ac:dyDescent="0.3">
      <c r="A14" s="88"/>
      <c r="C14" s="90"/>
      <c r="D14" s="91"/>
      <c r="E14" s="91"/>
      <c r="F14" s="91"/>
      <c r="G14" s="91"/>
      <c r="H14" s="92"/>
      <c r="I14" s="92"/>
      <c r="J14" s="93"/>
      <c r="K14" s="124" t="s">
        <v>169</v>
      </c>
      <c r="L14" s="124" t="s">
        <v>170</v>
      </c>
      <c r="M14" s="124" t="s">
        <v>171</v>
      </c>
      <c r="N14" s="124" t="s">
        <v>172</v>
      </c>
      <c r="O14" s="124" t="s">
        <v>173</v>
      </c>
      <c r="P14" s="124" t="s">
        <v>174</v>
      </c>
      <c r="Q14" s="124" t="s">
        <v>175</v>
      </c>
      <c r="R14" s="124" t="s">
        <v>176</v>
      </c>
      <c r="S14" s="124" t="s">
        <v>177</v>
      </c>
      <c r="T14" s="124" t="s">
        <v>178</v>
      </c>
      <c r="U14" s="83"/>
      <c r="V14" s="83"/>
      <c r="W14" s="83"/>
      <c r="X14" s="83"/>
      <c r="Y14" s="83"/>
      <c r="Z14" s="93"/>
      <c r="AA14" s="93"/>
      <c r="AB14" s="93"/>
      <c r="AC14" s="93"/>
      <c r="AD14" s="93"/>
    </row>
    <row r="15" spans="1:30" s="1" customFormat="1" x14ac:dyDescent="0.25">
      <c r="A15" s="94"/>
      <c r="C15" s="95"/>
      <c r="D15" s="96"/>
      <c r="E15" s="96"/>
      <c r="F15" s="96"/>
      <c r="G15" s="96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s="103" customFormat="1" x14ac:dyDescent="0.25">
      <c r="A16" s="99" t="s">
        <v>21</v>
      </c>
      <c r="B16" s="53"/>
      <c r="C16" s="100"/>
      <c r="D16" s="101"/>
      <c r="E16" s="101"/>
      <c r="F16" s="101"/>
      <c r="G16" s="101"/>
      <c r="H16" s="102"/>
      <c r="I16" s="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s="103" customFormat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99"/>
      <c r="F17" s="99"/>
      <c r="G17" s="99"/>
      <c r="H17" s="10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3"/>
      <c r="AA17" s="53"/>
      <c r="AB17" s="53"/>
      <c r="AC17" s="53"/>
    </row>
    <row r="18" spans="1:29" s="103" customFormat="1" x14ac:dyDescent="0.25">
      <c r="A18" s="16"/>
      <c r="B18" s="57"/>
      <c r="C18" s="2" t="s">
        <v>169</v>
      </c>
      <c r="D18" s="17"/>
      <c r="E18" s="59"/>
      <c r="F18" s="59"/>
      <c r="G18" s="59"/>
      <c r="H18" s="13"/>
      <c r="I18" s="18">
        <v>0</v>
      </c>
      <c r="J18" s="2">
        <f>I18*C4</f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53"/>
      <c r="AA18" s="53"/>
      <c r="AB18" s="53"/>
      <c r="AC18" s="53"/>
    </row>
    <row r="19" spans="1:29" s="103" customFormat="1" x14ac:dyDescent="0.25">
      <c r="A19" s="16"/>
      <c r="B19" s="57"/>
      <c r="C19" s="2" t="s">
        <v>170</v>
      </c>
      <c r="D19" s="17"/>
      <c r="E19" s="59"/>
      <c r="F19" s="59"/>
      <c r="G19" s="59"/>
      <c r="H19" s="13"/>
      <c r="I19" s="18">
        <v>0</v>
      </c>
      <c r="J19" s="2">
        <f>I19*C4</f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53"/>
      <c r="AA19" s="53"/>
      <c r="AB19" s="53"/>
      <c r="AC19" s="53"/>
    </row>
    <row r="20" spans="1:29" s="103" customFormat="1" x14ac:dyDescent="0.25">
      <c r="A20" s="16"/>
      <c r="B20" s="57"/>
      <c r="C20" s="2" t="s">
        <v>171</v>
      </c>
      <c r="D20" s="17"/>
      <c r="E20" s="59"/>
      <c r="F20" s="59"/>
      <c r="G20" s="59"/>
      <c r="H20" s="13"/>
      <c r="I20" s="18">
        <v>0</v>
      </c>
      <c r="J20" s="2">
        <f>I20*C4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53"/>
      <c r="AA20" s="53"/>
      <c r="AB20" s="53"/>
      <c r="AC20" s="53"/>
    </row>
    <row r="21" spans="1:29" s="103" customFormat="1" x14ac:dyDescent="0.25">
      <c r="A21" s="16"/>
      <c r="B21" s="57"/>
      <c r="C21" s="2" t="s">
        <v>172</v>
      </c>
      <c r="D21" s="17"/>
      <c r="E21" s="59"/>
      <c r="F21" s="59"/>
      <c r="G21" s="59"/>
      <c r="H21" s="13"/>
      <c r="I21" s="18">
        <v>0</v>
      </c>
      <c r="J21" s="2">
        <f>I21*C4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53"/>
      <c r="AA21" s="53"/>
      <c r="AB21" s="53"/>
      <c r="AC21" s="53"/>
    </row>
    <row r="22" spans="1:29" s="103" customFormat="1" x14ac:dyDescent="0.25">
      <c r="A22" s="16"/>
      <c r="B22" s="57"/>
      <c r="C22" s="2" t="s">
        <v>173</v>
      </c>
      <c r="D22" s="17"/>
      <c r="E22" s="59"/>
      <c r="F22" s="59"/>
      <c r="G22" s="59"/>
      <c r="H22" s="13"/>
      <c r="I22" s="18">
        <v>0</v>
      </c>
      <c r="J22" s="2">
        <f>I22*C4</f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53"/>
      <c r="AA22" s="53"/>
      <c r="AB22" s="53"/>
      <c r="AC22" s="53"/>
    </row>
    <row r="23" spans="1:29" s="103" customFormat="1" x14ac:dyDescent="0.25">
      <c r="A23" s="16"/>
      <c r="B23" s="57"/>
      <c r="C23" s="2" t="s">
        <v>174</v>
      </c>
      <c r="D23" s="17"/>
      <c r="E23" s="59"/>
      <c r="F23" s="59"/>
      <c r="G23" s="59"/>
      <c r="H23" s="13"/>
      <c r="I23" s="18">
        <v>0</v>
      </c>
      <c r="J23" s="2">
        <f>I23*C4</f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53"/>
      <c r="AA23" s="53"/>
      <c r="AB23" s="53"/>
      <c r="AC23" s="53"/>
    </row>
    <row r="24" spans="1:29" s="103" customFormat="1" x14ac:dyDescent="0.25">
      <c r="A24" s="16"/>
      <c r="B24" s="57"/>
      <c r="C24" s="2" t="s">
        <v>175</v>
      </c>
      <c r="D24" s="17"/>
      <c r="E24" s="59"/>
      <c r="F24" s="59"/>
      <c r="G24" s="59"/>
      <c r="H24" s="13"/>
      <c r="I24" s="18">
        <v>0</v>
      </c>
      <c r="J24" s="2">
        <f>I24*C4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53"/>
      <c r="AA24" s="53"/>
      <c r="AB24" s="53"/>
      <c r="AC24" s="53"/>
    </row>
    <row r="25" spans="1:29" s="103" customFormat="1" x14ac:dyDescent="0.25">
      <c r="A25" s="16"/>
      <c r="B25" s="57"/>
      <c r="C25" s="2" t="s">
        <v>176</v>
      </c>
      <c r="D25" s="17"/>
      <c r="E25" s="59"/>
      <c r="F25" s="59"/>
      <c r="G25" s="59"/>
      <c r="H25" s="13"/>
      <c r="I25" s="18">
        <v>0</v>
      </c>
      <c r="J25" s="2">
        <f>I25*C4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53"/>
      <c r="AA25" s="53"/>
      <c r="AB25" s="53"/>
      <c r="AC25" s="53"/>
    </row>
    <row r="26" spans="1:29" s="103" customFormat="1" x14ac:dyDescent="0.25">
      <c r="A26" s="16"/>
      <c r="B26" s="57"/>
      <c r="C26" s="2" t="s">
        <v>177</v>
      </c>
      <c r="D26" s="17"/>
      <c r="E26" s="59"/>
      <c r="F26" s="59"/>
      <c r="G26" s="59"/>
      <c r="H26" s="13"/>
      <c r="I26" s="18">
        <v>0</v>
      </c>
      <c r="J26" s="2">
        <f>I26*C4</f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53"/>
      <c r="AA26" s="53"/>
      <c r="AB26" s="53"/>
      <c r="AC26" s="53"/>
    </row>
    <row r="27" spans="1:29" s="103" customFormat="1" x14ac:dyDescent="0.25">
      <c r="A27" s="16"/>
      <c r="B27" s="57"/>
      <c r="C27" s="2" t="s">
        <v>178</v>
      </c>
      <c r="D27" s="17"/>
      <c r="E27" s="59"/>
      <c r="F27" s="59"/>
      <c r="G27" s="59"/>
      <c r="H27" s="13"/>
      <c r="I27" s="18">
        <v>0</v>
      </c>
      <c r="J27" s="2">
        <f>I27*C4</f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53"/>
      <c r="AA27" s="53"/>
      <c r="AB27" s="53"/>
      <c r="AC27" s="53"/>
    </row>
    <row r="28" spans="1:29" s="103" customFormat="1" x14ac:dyDescent="0.25">
      <c r="A28" s="99"/>
      <c r="B28" s="104" t="s">
        <v>167</v>
      </c>
      <c r="C28" s="100"/>
      <c r="D28" s="101"/>
      <c r="E28" s="101"/>
      <c r="F28" s="101"/>
      <c r="G28" s="101"/>
      <c r="H28" s="102"/>
      <c r="I28" s="2">
        <f>SUM(I18:I27)</f>
        <v>0</v>
      </c>
      <c r="J28" s="2">
        <f>SUM(J18:J27)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53"/>
      <c r="AA28" s="53"/>
      <c r="AB28" s="53"/>
      <c r="AC28" s="53"/>
    </row>
    <row r="29" spans="1:29" s="103" customFormat="1" x14ac:dyDescent="0.25">
      <c r="A29" s="99"/>
      <c r="B29" s="109"/>
      <c r="C29" s="100"/>
      <c r="D29" s="101"/>
      <c r="E29" s="101"/>
      <c r="F29" s="101"/>
      <c r="G29" s="101"/>
      <c r="H29" s="10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53"/>
      <c r="AA29" s="53"/>
      <c r="AB29" s="53"/>
      <c r="AC29" s="53"/>
    </row>
    <row r="30" spans="1:29" s="103" customFormat="1" x14ac:dyDescent="0.25">
      <c r="A30" s="99" t="s">
        <v>31</v>
      </c>
      <c r="B30" s="53"/>
      <c r="C30" s="100"/>
      <c r="D30" s="101"/>
      <c r="E30" s="101"/>
      <c r="F30" s="101"/>
      <c r="G30" s="101"/>
      <c r="H30" s="10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3"/>
      <c r="AA30" s="53"/>
      <c r="AB30" s="53"/>
      <c r="AC30" s="53"/>
    </row>
    <row r="31" spans="1:29" s="103" customFormat="1" x14ac:dyDescent="0.25">
      <c r="A31" s="99" t="s">
        <v>29</v>
      </c>
      <c r="B31" s="104" t="s">
        <v>30</v>
      </c>
      <c r="C31" s="100" t="s">
        <v>168</v>
      </c>
      <c r="D31" s="101"/>
      <c r="E31" s="101"/>
      <c r="F31" s="101"/>
      <c r="G31" s="101"/>
      <c r="H31" s="10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53"/>
      <c r="AA31" s="53"/>
      <c r="AB31" s="53"/>
      <c r="AC31" s="53"/>
    </row>
    <row r="32" spans="1:29" s="103" customFormat="1" x14ac:dyDescent="0.25">
      <c r="A32" s="19"/>
      <c r="B32" s="57"/>
      <c r="C32" s="20"/>
      <c r="D32" s="101"/>
      <c r="E32" s="101"/>
      <c r="F32" s="101"/>
      <c r="G32" s="101"/>
      <c r="H32" s="102"/>
      <c r="I32" s="18">
        <v>0</v>
      </c>
      <c r="J32" s="2">
        <f>(C4)*I32</f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53"/>
      <c r="AA32" s="53"/>
      <c r="AB32" s="53"/>
      <c r="AC32" s="53"/>
    </row>
    <row r="33" spans="1:29" s="103" customFormat="1" x14ac:dyDescent="0.25">
      <c r="A33" s="19"/>
      <c r="B33" s="57"/>
      <c r="C33" s="20"/>
      <c r="D33" s="101"/>
      <c r="E33" s="101"/>
      <c r="F33" s="101"/>
      <c r="G33" s="101"/>
      <c r="H33" s="102"/>
      <c r="I33" s="18">
        <v>0</v>
      </c>
      <c r="J33" s="2">
        <f>I33*C4</f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53"/>
      <c r="AA33" s="53"/>
      <c r="AB33" s="53"/>
      <c r="AC33" s="53"/>
    </row>
    <row r="34" spans="1:29" s="103" customFormat="1" x14ac:dyDescent="0.25">
      <c r="A34" s="19"/>
      <c r="B34" s="57"/>
      <c r="C34" s="20"/>
      <c r="D34" s="101"/>
      <c r="E34" s="101"/>
      <c r="F34" s="101"/>
      <c r="G34" s="101"/>
      <c r="H34" s="102"/>
      <c r="I34" s="18">
        <v>0</v>
      </c>
      <c r="J34" s="2">
        <f>I34*C4</f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53"/>
      <c r="AA34" s="53"/>
      <c r="AB34" s="53"/>
      <c r="AC34" s="53"/>
    </row>
    <row r="35" spans="1:29" s="103" customFormat="1" x14ac:dyDescent="0.25">
      <c r="A35" s="19"/>
      <c r="B35" s="57"/>
      <c r="C35" s="20"/>
      <c r="D35" s="101"/>
      <c r="E35" s="101"/>
      <c r="F35" s="101"/>
      <c r="G35" s="101"/>
      <c r="H35" s="102"/>
      <c r="I35" s="18">
        <v>0</v>
      </c>
      <c r="J35" s="2">
        <f>I35*C4</f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53"/>
      <c r="AA35" s="53"/>
      <c r="AB35" s="53"/>
      <c r="AC35" s="53"/>
    </row>
    <row r="36" spans="1:29" s="103" customFormat="1" x14ac:dyDescent="0.25">
      <c r="A36" s="19"/>
      <c r="B36" s="57"/>
      <c r="C36" s="20"/>
      <c r="D36" s="101"/>
      <c r="E36" s="101"/>
      <c r="F36" s="101"/>
      <c r="G36" s="101"/>
      <c r="H36" s="102"/>
      <c r="I36" s="18">
        <v>0</v>
      </c>
      <c r="J36" s="2">
        <f>I36*C4</f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53"/>
      <c r="AA36" s="53"/>
      <c r="AB36" s="53"/>
      <c r="AC36" s="53"/>
    </row>
    <row r="37" spans="1:29" s="103" customFormat="1" x14ac:dyDescent="0.25">
      <c r="A37" s="19"/>
      <c r="B37" s="57"/>
      <c r="C37" s="20"/>
      <c r="D37" s="101"/>
      <c r="E37" s="101"/>
      <c r="F37" s="101"/>
      <c r="G37" s="101"/>
      <c r="H37" s="102"/>
      <c r="I37" s="18">
        <v>0</v>
      </c>
      <c r="J37" s="2">
        <f>I37*C4</f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53"/>
      <c r="AA37" s="53"/>
      <c r="AB37" s="53"/>
      <c r="AC37" s="53"/>
    </row>
    <row r="38" spans="1:29" s="103" customFormat="1" x14ac:dyDescent="0.25">
      <c r="A38" s="19"/>
      <c r="B38" s="57"/>
      <c r="C38" s="20"/>
      <c r="D38" s="101"/>
      <c r="E38" s="101"/>
      <c r="F38" s="101"/>
      <c r="G38" s="101"/>
      <c r="H38" s="102"/>
      <c r="I38" s="18">
        <v>0</v>
      </c>
      <c r="J38" s="2">
        <f>I38*C4</f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53"/>
      <c r="AA38" s="53"/>
      <c r="AB38" s="53"/>
      <c r="AC38" s="53"/>
    </row>
    <row r="39" spans="1:29" s="103" customFormat="1" x14ac:dyDescent="0.25">
      <c r="A39" s="19"/>
      <c r="B39" s="57"/>
      <c r="C39" s="20"/>
      <c r="D39" s="101"/>
      <c r="E39" s="101"/>
      <c r="F39" s="101"/>
      <c r="G39" s="101"/>
      <c r="H39" s="102"/>
      <c r="I39" s="18">
        <v>0</v>
      </c>
      <c r="J39" s="2">
        <f>I39*C4</f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53"/>
      <c r="AA39" s="53"/>
      <c r="AB39" s="53"/>
      <c r="AC39" s="53"/>
    </row>
    <row r="40" spans="1:29" s="103" customFormat="1" x14ac:dyDescent="0.25">
      <c r="A40" s="19"/>
      <c r="B40" s="57"/>
      <c r="C40" s="20"/>
      <c r="D40" s="101"/>
      <c r="E40" s="101"/>
      <c r="F40" s="101"/>
      <c r="G40" s="101"/>
      <c r="H40" s="102"/>
      <c r="I40" s="18">
        <v>0</v>
      </c>
      <c r="J40" s="2">
        <f>I40*C4</f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53"/>
      <c r="AA40" s="53"/>
      <c r="AB40" s="53"/>
      <c r="AC40" s="53"/>
    </row>
    <row r="41" spans="1:29" s="103" customFormat="1" x14ac:dyDescent="0.25">
      <c r="A41" s="19"/>
      <c r="B41" s="57"/>
      <c r="C41" s="20"/>
      <c r="D41" s="101"/>
      <c r="E41" s="101"/>
      <c r="F41" s="101"/>
      <c r="G41" s="101"/>
      <c r="H41" s="102"/>
      <c r="I41" s="18">
        <v>0</v>
      </c>
      <c r="J41" s="2">
        <f>I41*C4</f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53"/>
      <c r="AA41" s="53"/>
      <c r="AB41" s="53"/>
      <c r="AC41" s="53"/>
    </row>
    <row r="42" spans="1:29" s="103" customFormat="1" x14ac:dyDescent="0.25">
      <c r="A42" s="99"/>
      <c r="B42" s="104" t="s">
        <v>167</v>
      </c>
      <c r="C42" s="100"/>
      <c r="D42" s="101"/>
      <c r="E42" s="101"/>
      <c r="F42" s="101"/>
      <c r="G42" s="101"/>
      <c r="H42" s="102"/>
      <c r="I42" s="2">
        <f>SUM(I32:I41)</f>
        <v>0</v>
      </c>
      <c r="J42" s="2">
        <f>SUM(J32:J41)</f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53"/>
      <c r="AA42" s="53"/>
      <c r="AB42" s="53"/>
      <c r="AC42" s="53"/>
    </row>
    <row r="43" spans="1:29" s="103" customFormat="1" x14ac:dyDescent="0.25">
      <c r="A43" s="99"/>
      <c r="B43" s="99" t="s">
        <v>60</v>
      </c>
      <c r="C43" s="100"/>
      <c r="D43" s="101"/>
      <c r="E43" s="101"/>
      <c r="F43" s="101"/>
      <c r="G43" s="101"/>
      <c r="H43" s="102"/>
      <c r="I43" s="21">
        <v>0</v>
      </c>
      <c r="J43" s="2">
        <f>I43*C4</f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53"/>
      <c r="AA43" s="53"/>
      <c r="AB43" s="53"/>
      <c r="AC43" s="53"/>
    </row>
    <row r="44" spans="1:29" s="103" customFormat="1" x14ac:dyDescent="0.25">
      <c r="A44" s="99"/>
      <c r="B44" s="53"/>
      <c r="C44" s="100"/>
      <c r="D44" s="101"/>
      <c r="E44" s="101"/>
      <c r="F44" s="101"/>
      <c r="G44" s="101"/>
      <c r="H44" s="10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53"/>
      <c r="AA44" s="53"/>
      <c r="AB44" s="53"/>
      <c r="AC44" s="53"/>
    </row>
    <row r="45" spans="1:29" s="103" customFormat="1" x14ac:dyDescent="0.25">
      <c r="A45" s="99" t="s">
        <v>32</v>
      </c>
      <c r="B45" s="53"/>
      <c r="C45" s="100"/>
      <c r="D45" s="101"/>
      <c r="E45" s="101"/>
      <c r="F45" s="101"/>
      <c r="G45" s="101"/>
      <c r="H45" s="102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53"/>
      <c r="AA45" s="53"/>
      <c r="AB45" s="53"/>
      <c r="AC45" s="53"/>
    </row>
    <row r="46" spans="1:29" s="103" customFormat="1" x14ac:dyDescent="0.25">
      <c r="A46" s="99" t="s">
        <v>29</v>
      </c>
      <c r="B46" s="104" t="s">
        <v>30</v>
      </c>
      <c r="C46" s="100" t="s">
        <v>168</v>
      </c>
      <c r="D46" s="101"/>
      <c r="E46" s="101"/>
      <c r="F46" s="101"/>
      <c r="G46" s="101"/>
      <c r="H46" s="10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53"/>
      <c r="AA46" s="53"/>
      <c r="AB46" s="53"/>
      <c r="AC46" s="53"/>
    </row>
    <row r="47" spans="1:29" s="103" customFormat="1" ht="26.4" x14ac:dyDescent="0.25">
      <c r="A47" s="19"/>
      <c r="B47" s="106" t="s">
        <v>518</v>
      </c>
      <c r="C47" s="20" t="s">
        <v>867</v>
      </c>
      <c r="D47" s="101"/>
      <c r="E47" s="101"/>
      <c r="F47" s="101"/>
      <c r="G47" s="101"/>
      <c r="H47" s="102"/>
      <c r="I47" s="18">
        <v>300000</v>
      </c>
      <c r="J47" s="2">
        <v>300000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53"/>
      <c r="AA47" s="53"/>
      <c r="AB47" s="53"/>
      <c r="AC47" s="53"/>
    </row>
    <row r="48" spans="1:29" s="103" customFormat="1" x14ac:dyDescent="0.25">
      <c r="A48" s="19"/>
      <c r="B48" s="57"/>
      <c r="C48" s="20"/>
      <c r="D48" s="101"/>
      <c r="E48" s="101"/>
      <c r="F48" s="101"/>
      <c r="G48" s="101"/>
      <c r="H48" s="102"/>
      <c r="I48" s="18">
        <v>0</v>
      </c>
      <c r="J48" s="2">
        <f>I48*C4</f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3"/>
      <c r="AA48" s="53"/>
      <c r="AB48" s="53"/>
      <c r="AC48" s="53"/>
    </row>
    <row r="49" spans="1:29" s="103" customFormat="1" x14ac:dyDescent="0.25">
      <c r="A49" s="19"/>
      <c r="B49" s="57"/>
      <c r="C49" s="20"/>
      <c r="D49" s="101"/>
      <c r="E49" s="101"/>
      <c r="F49" s="101"/>
      <c r="G49" s="101"/>
      <c r="H49" s="102"/>
      <c r="I49" s="18">
        <v>0</v>
      </c>
      <c r="J49" s="2">
        <f>I49*C4</f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53"/>
      <c r="AA49" s="53"/>
      <c r="AB49" s="53"/>
      <c r="AC49" s="53"/>
    </row>
    <row r="50" spans="1:29" s="103" customFormat="1" x14ac:dyDescent="0.25">
      <c r="A50" s="19"/>
      <c r="B50" s="57"/>
      <c r="C50" s="20"/>
      <c r="D50" s="101"/>
      <c r="E50" s="101"/>
      <c r="F50" s="101"/>
      <c r="G50" s="101"/>
      <c r="H50" s="102"/>
      <c r="I50" s="18">
        <v>0</v>
      </c>
      <c r="J50" s="2">
        <f>I50*C4</f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53"/>
      <c r="AA50" s="53"/>
      <c r="AB50" s="53"/>
      <c r="AC50" s="53"/>
    </row>
    <row r="51" spans="1:29" s="103" customFormat="1" x14ac:dyDescent="0.25">
      <c r="A51" s="19"/>
      <c r="B51" s="57"/>
      <c r="C51" s="20"/>
      <c r="D51" s="101"/>
      <c r="E51" s="101"/>
      <c r="F51" s="101"/>
      <c r="G51" s="101"/>
      <c r="H51" s="102"/>
      <c r="I51" s="18">
        <v>0</v>
      </c>
      <c r="J51" s="2">
        <f>I51*C4</f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3"/>
      <c r="AA51" s="53"/>
      <c r="AB51" s="53"/>
      <c r="AC51" s="53"/>
    </row>
    <row r="52" spans="1:29" s="103" customFormat="1" x14ac:dyDescent="0.25">
      <c r="A52" s="19"/>
      <c r="B52" s="57"/>
      <c r="C52" s="20"/>
      <c r="D52" s="101"/>
      <c r="E52" s="101"/>
      <c r="F52" s="101"/>
      <c r="G52" s="101"/>
      <c r="H52" s="102"/>
      <c r="I52" s="18">
        <v>0</v>
      </c>
      <c r="J52" s="2">
        <f>I52*C4</f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3"/>
      <c r="AA52" s="53"/>
      <c r="AB52" s="53"/>
      <c r="AC52" s="53"/>
    </row>
    <row r="53" spans="1:29" s="103" customFormat="1" x14ac:dyDescent="0.25">
      <c r="A53" s="19"/>
      <c r="B53" s="57"/>
      <c r="C53" s="20"/>
      <c r="D53" s="101"/>
      <c r="E53" s="101"/>
      <c r="F53" s="101"/>
      <c r="G53" s="101"/>
      <c r="H53" s="102"/>
      <c r="I53" s="18">
        <v>0</v>
      </c>
      <c r="J53" s="2">
        <f>I53*C4</f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53"/>
      <c r="AA53" s="53"/>
      <c r="AB53" s="53"/>
      <c r="AC53" s="53"/>
    </row>
    <row r="54" spans="1:29" s="103" customFormat="1" x14ac:dyDescent="0.25">
      <c r="A54" s="19"/>
      <c r="B54" s="57"/>
      <c r="C54" s="20"/>
      <c r="D54" s="101"/>
      <c r="E54" s="101"/>
      <c r="F54" s="101"/>
      <c r="G54" s="101"/>
      <c r="H54" s="102"/>
      <c r="I54" s="18">
        <v>0</v>
      </c>
      <c r="J54" s="2">
        <f>I54*C4</f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53"/>
      <c r="AA54" s="53"/>
      <c r="AB54" s="53"/>
      <c r="AC54" s="53"/>
    </row>
    <row r="55" spans="1:29" s="103" customFormat="1" x14ac:dyDescent="0.25">
      <c r="A55" s="19"/>
      <c r="B55" s="57"/>
      <c r="C55" s="20"/>
      <c r="D55" s="101"/>
      <c r="E55" s="101"/>
      <c r="F55" s="101"/>
      <c r="G55" s="101"/>
      <c r="H55" s="102"/>
      <c r="I55" s="18">
        <v>0</v>
      </c>
      <c r="J55" s="2">
        <f>I55*C4</f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53"/>
      <c r="AA55" s="53"/>
      <c r="AB55" s="53"/>
      <c r="AC55" s="53"/>
    </row>
    <row r="56" spans="1:29" s="103" customFormat="1" x14ac:dyDescent="0.25">
      <c r="A56" s="19"/>
      <c r="B56" s="57"/>
      <c r="C56" s="20"/>
      <c r="D56" s="101"/>
      <c r="E56" s="101"/>
      <c r="F56" s="101"/>
      <c r="G56" s="101"/>
      <c r="H56" s="102"/>
      <c r="I56" s="18">
        <v>0</v>
      </c>
      <c r="J56" s="2">
        <f>I56*C4</f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53"/>
      <c r="AA56" s="53"/>
      <c r="AB56" s="53"/>
      <c r="AC56" s="53"/>
    </row>
    <row r="57" spans="1:29" s="103" customFormat="1" x14ac:dyDescent="0.25">
      <c r="A57" s="99"/>
      <c r="B57" s="104" t="s">
        <v>167</v>
      </c>
      <c r="C57" s="100"/>
      <c r="D57" s="101"/>
      <c r="E57" s="101"/>
      <c r="F57" s="101"/>
      <c r="G57" s="101"/>
      <c r="H57" s="102"/>
      <c r="I57" s="4">
        <f>SUM(I47:I56)</f>
        <v>300000</v>
      </c>
      <c r="J57" s="2">
        <f>SUM(J47:J56)</f>
        <v>300000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53"/>
      <c r="AA57" s="53"/>
      <c r="AB57" s="53"/>
      <c r="AC57" s="53"/>
    </row>
    <row r="58" spans="1:29" s="103" customFormat="1" x14ac:dyDescent="0.25">
      <c r="A58" s="99"/>
      <c r="B58" s="53"/>
      <c r="C58" s="100"/>
      <c r="D58" s="101"/>
      <c r="E58" s="101"/>
      <c r="F58" s="101"/>
      <c r="G58" s="101"/>
      <c r="H58" s="102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53"/>
      <c r="AA58" s="53"/>
      <c r="AB58" s="53"/>
      <c r="AC58" s="53"/>
    </row>
    <row r="59" spans="1:29" s="103" customFormat="1" x14ac:dyDescent="0.25">
      <c r="A59" s="99" t="s">
        <v>22</v>
      </c>
      <c r="B59" s="53"/>
      <c r="C59" s="100"/>
      <c r="D59" s="101"/>
      <c r="E59" s="101"/>
      <c r="F59" s="101"/>
      <c r="G59" s="101"/>
      <c r="H59" s="10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53"/>
      <c r="AA59" s="53"/>
      <c r="AB59" s="53"/>
      <c r="AC59" s="53"/>
    </row>
    <row r="60" spans="1:29" s="103" customFormat="1" x14ac:dyDescent="0.25">
      <c r="A60" s="99" t="s">
        <v>29</v>
      </c>
      <c r="B60" s="104" t="s">
        <v>30</v>
      </c>
      <c r="C60" s="100" t="s">
        <v>168</v>
      </c>
      <c r="D60" s="101"/>
      <c r="E60" s="101"/>
      <c r="F60" s="101"/>
      <c r="G60" s="101"/>
      <c r="H60" s="10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53"/>
      <c r="AA60" s="53"/>
      <c r="AB60" s="53"/>
      <c r="AC60" s="53"/>
    </row>
    <row r="61" spans="1:29" s="103" customFormat="1" x14ac:dyDescent="0.25">
      <c r="A61" s="19"/>
      <c r="B61" s="57"/>
      <c r="C61" s="20"/>
      <c r="D61" s="101"/>
      <c r="E61" s="101"/>
      <c r="F61" s="101"/>
      <c r="G61" s="101"/>
      <c r="H61" s="102"/>
      <c r="I61" s="18">
        <v>0</v>
      </c>
      <c r="J61" s="2">
        <f>I61*C4</f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53"/>
      <c r="AA61" s="53"/>
      <c r="AB61" s="53"/>
      <c r="AC61" s="53"/>
    </row>
    <row r="62" spans="1:29" s="103" customFormat="1" x14ac:dyDescent="0.25">
      <c r="A62" s="19"/>
      <c r="B62" s="57"/>
      <c r="C62" s="20"/>
      <c r="D62" s="101"/>
      <c r="E62" s="101"/>
      <c r="F62" s="101"/>
      <c r="G62" s="101"/>
      <c r="H62" s="102"/>
      <c r="I62" s="18">
        <v>0</v>
      </c>
      <c r="J62" s="2">
        <f>I62*C4</f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53"/>
      <c r="AA62" s="53"/>
      <c r="AB62" s="53"/>
      <c r="AC62" s="53"/>
    </row>
    <row r="63" spans="1:29" s="103" customFormat="1" x14ac:dyDescent="0.25">
      <c r="A63" s="19"/>
      <c r="B63" s="57"/>
      <c r="C63" s="20"/>
      <c r="D63" s="101"/>
      <c r="E63" s="101"/>
      <c r="F63" s="101"/>
      <c r="G63" s="101"/>
      <c r="H63" s="102"/>
      <c r="I63" s="18">
        <v>0</v>
      </c>
      <c r="J63" s="2">
        <f>I63*C4</f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53"/>
      <c r="AA63" s="53"/>
      <c r="AB63" s="53"/>
      <c r="AC63" s="53"/>
    </row>
    <row r="64" spans="1:29" s="103" customFormat="1" x14ac:dyDescent="0.25">
      <c r="A64" s="19"/>
      <c r="B64" s="57"/>
      <c r="C64" s="20"/>
      <c r="D64" s="101"/>
      <c r="E64" s="101"/>
      <c r="F64" s="101"/>
      <c r="G64" s="101"/>
      <c r="H64" s="102"/>
      <c r="I64" s="18">
        <v>0</v>
      </c>
      <c r="J64" s="2">
        <f>I64*C4</f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53"/>
      <c r="AA64" s="53"/>
      <c r="AB64" s="53"/>
      <c r="AC64" s="53"/>
    </row>
    <row r="65" spans="1:29" s="103" customFormat="1" x14ac:dyDescent="0.25">
      <c r="A65" s="19"/>
      <c r="B65" s="57"/>
      <c r="C65" s="20"/>
      <c r="D65" s="101"/>
      <c r="E65" s="101"/>
      <c r="F65" s="101"/>
      <c r="G65" s="101"/>
      <c r="H65" s="102"/>
      <c r="I65" s="18">
        <v>0</v>
      </c>
      <c r="J65" s="2">
        <f>I65*C4</f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53"/>
      <c r="AA65" s="53"/>
      <c r="AB65" s="53"/>
      <c r="AC65" s="53"/>
    </row>
    <row r="66" spans="1:29" s="103" customFormat="1" x14ac:dyDescent="0.25">
      <c r="A66" s="19"/>
      <c r="B66" s="57"/>
      <c r="C66" s="20"/>
      <c r="D66" s="101"/>
      <c r="E66" s="101"/>
      <c r="F66" s="101"/>
      <c r="G66" s="101"/>
      <c r="H66" s="102"/>
      <c r="I66" s="18">
        <v>0</v>
      </c>
      <c r="J66" s="2">
        <f>I66*C4</f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53"/>
      <c r="AA66" s="53"/>
      <c r="AB66" s="53"/>
      <c r="AC66" s="53"/>
    </row>
    <row r="67" spans="1:29" s="103" customFormat="1" x14ac:dyDescent="0.25">
      <c r="A67" s="19"/>
      <c r="B67" s="57"/>
      <c r="C67" s="20"/>
      <c r="D67" s="101"/>
      <c r="E67" s="101"/>
      <c r="F67" s="101"/>
      <c r="G67" s="101"/>
      <c r="H67" s="102"/>
      <c r="I67" s="18">
        <v>0</v>
      </c>
      <c r="J67" s="2">
        <f>I67*C4</f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53"/>
      <c r="AA67" s="53"/>
      <c r="AB67" s="53"/>
      <c r="AC67" s="53"/>
    </row>
    <row r="68" spans="1:29" s="103" customFormat="1" x14ac:dyDescent="0.25">
      <c r="A68" s="19"/>
      <c r="B68" s="57"/>
      <c r="C68" s="20"/>
      <c r="D68" s="101"/>
      <c r="E68" s="101"/>
      <c r="F68" s="101"/>
      <c r="G68" s="101"/>
      <c r="H68" s="102"/>
      <c r="I68" s="18">
        <v>0</v>
      </c>
      <c r="J68" s="2">
        <f>I68*C4</f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53"/>
      <c r="AA68" s="53"/>
      <c r="AB68" s="53"/>
      <c r="AC68" s="53"/>
    </row>
    <row r="69" spans="1:29" s="103" customFormat="1" x14ac:dyDescent="0.25">
      <c r="A69" s="19"/>
      <c r="B69" s="57"/>
      <c r="C69" s="20"/>
      <c r="D69" s="101"/>
      <c r="E69" s="101"/>
      <c r="F69" s="101"/>
      <c r="G69" s="101"/>
      <c r="H69" s="102"/>
      <c r="I69" s="18">
        <v>0</v>
      </c>
      <c r="J69" s="2">
        <f>I69*C4</f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53"/>
      <c r="AA69" s="53"/>
      <c r="AB69" s="53"/>
      <c r="AC69" s="53"/>
    </row>
    <row r="70" spans="1:29" s="103" customFormat="1" x14ac:dyDescent="0.25">
      <c r="A70" s="19"/>
      <c r="B70" s="57"/>
      <c r="C70" s="20"/>
      <c r="D70" s="101"/>
      <c r="E70" s="101"/>
      <c r="F70" s="101"/>
      <c r="G70" s="101"/>
      <c r="H70" s="102"/>
      <c r="I70" s="18">
        <v>0</v>
      </c>
      <c r="J70" s="2">
        <f>I70*C4</f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53"/>
      <c r="AA70" s="53"/>
      <c r="AB70" s="53"/>
      <c r="AC70" s="53"/>
    </row>
    <row r="71" spans="1:29" s="103" customFormat="1" x14ac:dyDescent="0.25">
      <c r="A71" s="99"/>
      <c r="B71" s="104" t="s">
        <v>167</v>
      </c>
      <c r="C71" s="100"/>
      <c r="D71" s="101"/>
      <c r="E71" s="101"/>
      <c r="F71" s="101"/>
      <c r="G71" s="101"/>
      <c r="H71" s="102"/>
      <c r="I71" s="4">
        <f>SUM(I61:I70)</f>
        <v>0</v>
      </c>
      <c r="J71" s="2">
        <f>SUM(J61:J70)</f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53"/>
      <c r="AA71" s="53"/>
      <c r="AB71" s="53"/>
      <c r="AC71" s="53"/>
    </row>
    <row r="72" spans="1:29" s="103" customFormat="1" x14ac:dyDescent="0.25">
      <c r="A72" s="99"/>
      <c r="B72" s="53"/>
      <c r="C72" s="100"/>
      <c r="D72" s="101"/>
      <c r="E72" s="101"/>
      <c r="F72" s="101"/>
      <c r="G72" s="101"/>
      <c r="H72" s="102"/>
      <c r="I72" s="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</row>
    <row r="73" spans="1:29" s="103" customFormat="1" ht="13.8" thickBot="1" x14ac:dyDescent="0.3">
      <c r="A73" s="113" t="s">
        <v>3</v>
      </c>
      <c r="B73" s="113"/>
      <c r="C73" s="114"/>
      <c r="D73" s="115"/>
      <c r="E73" s="115"/>
      <c r="F73" s="115"/>
      <c r="G73" s="115"/>
      <c r="H73" s="116"/>
      <c r="I73" s="43">
        <f>SUM(I28+I42+I43+I57+I71)</f>
        <v>300000</v>
      </c>
      <c r="J73" s="43">
        <f>SUM(J28+J42+J43+J57+J71)</f>
        <v>300000</v>
      </c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53"/>
      <c r="AA73" s="53"/>
      <c r="AB73" s="53"/>
      <c r="AC73" s="53"/>
    </row>
    <row r="74" spans="1:29" s="103" customFormat="1" x14ac:dyDescent="0.25">
      <c r="A74" s="99"/>
      <c r="B74" s="99"/>
      <c r="C74" s="118"/>
      <c r="D74" s="119"/>
      <c r="E74" s="119"/>
      <c r="F74" s="119"/>
      <c r="G74" s="119"/>
      <c r="H74" s="120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53"/>
      <c r="AA74" s="53"/>
      <c r="AB74" s="53"/>
      <c r="AC74" s="53"/>
    </row>
    <row r="75" spans="1:29" s="53" customFormat="1" ht="13.8" thickBot="1" x14ac:dyDescent="0.3">
      <c r="A75" s="70" t="s">
        <v>6</v>
      </c>
      <c r="B75" s="99"/>
      <c r="C75" s="118"/>
      <c r="D75" s="122"/>
      <c r="E75" s="122"/>
      <c r="F75" s="122"/>
      <c r="G75" s="122"/>
      <c r="H75" s="123"/>
      <c r="I75" s="3"/>
    </row>
    <row r="76" spans="1:29" ht="13.8" thickBot="1" x14ac:dyDescent="0.3">
      <c r="A76" s="49"/>
      <c r="B76" s="70"/>
      <c r="E76" s="82"/>
      <c r="F76" s="81" t="s">
        <v>27</v>
      </c>
      <c r="G76" s="82" t="s">
        <v>28</v>
      </c>
      <c r="H76" s="67" t="s">
        <v>0</v>
      </c>
      <c r="I76" s="83" t="s">
        <v>65</v>
      </c>
      <c r="J76" s="83" t="s">
        <v>65</v>
      </c>
      <c r="K76" s="390" t="s">
        <v>179</v>
      </c>
      <c r="L76" s="391"/>
      <c r="M76" s="391"/>
      <c r="N76" s="391"/>
      <c r="O76" s="391"/>
      <c r="P76" s="391"/>
      <c r="Q76" s="391"/>
      <c r="R76" s="391"/>
      <c r="S76" s="391"/>
      <c r="T76" s="392"/>
      <c r="U76" s="222"/>
      <c r="V76" s="222"/>
      <c r="W76" s="222"/>
      <c r="X76" s="222"/>
      <c r="Y76" s="222"/>
    </row>
    <row r="77" spans="1:29" ht="13.8" thickBot="1" x14ac:dyDescent="0.3">
      <c r="A77" s="49"/>
      <c r="B77" s="70"/>
      <c r="E77" s="82"/>
      <c r="F77" s="81"/>
      <c r="G77" s="82"/>
      <c r="H77" s="67"/>
      <c r="I77" s="83" t="s">
        <v>5</v>
      </c>
      <c r="J77" s="83" t="s">
        <v>5</v>
      </c>
      <c r="K77" s="124" t="s">
        <v>169</v>
      </c>
      <c r="L77" s="124" t="s">
        <v>170</v>
      </c>
      <c r="M77" s="124" t="s">
        <v>171</v>
      </c>
      <c r="N77" s="124" t="s">
        <v>172</v>
      </c>
      <c r="O77" s="124" t="s">
        <v>173</v>
      </c>
      <c r="P77" s="124" t="s">
        <v>174</v>
      </c>
      <c r="Q77" s="124" t="s">
        <v>175</v>
      </c>
      <c r="R77" s="124" t="s">
        <v>176</v>
      </c>
      <c r="S77" s="124" t="s">
        <v>177</v>
      </c>
      <c r="T77" s="124" t="s">
        <v>178</v>
      </c>
      <c r="U77" s="83"/>
      <c r="V77" s="83"/>
      <c r="W77" s="83"/>
      <c r="X77" s="83"/>
      <c r="Y77" s="83"/>
    </row>
    <row r="78" spans="1:29" x14ac:dyDescent="0.25">
      <c r="B78" s="70"/>
      <c r="E78" s="82"/>
      <c r="F78" s="81" t="s">
        <v>1</v>
      </c>
      <c r="G78" s="82" t="s">
        <v>2</v>
      </c>
      <c r="H78" s="86" t="s">
        <v>20</v>
      </c>
      <c r="I78" s="86" t="s">
        <v>20</v>
      </c>
      <c r="J78" s="87" t="s">
        <v>4</v>
      </c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23"/>
      <c r="V78" s="223"/>
      <c r="W78" s="223"/>
      <c r="X78" s="223"/>
      <c r="Y78" s="223"/>
    </row>
    <row r="79" spans="1:29" x14ac:dyDescent="0.25">
      <c r="A79" s="70" t="s">
        <v>77</v>
      </c>
      <c r="B79" s="70"/>
      <c r="E79" s="82"/>
      <c r="F79" s="81"/>
      <c r="G79" s="82"/>
      <c r="H79" s="86"/>
      <c r="I79" s="86"/>
      <c r="J79" s="87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23"/>
      <c r="V79" s="223"/>
      <c r="W79" s="223"/>
      <c r="X79" s="223"/>
      <c r="Y79" s="223"/>
    </row>
    <row r="80" spans="1:29" x14ac:dyDescent="0.25">
      <c r="A80" s="125">
        <v>1</v>
      </c>
      <c r="B80" s="126" t="s">
        <v>78</v>
      </c>
      <c r="C80" s="127"/>
      <c r="D80" s="128"/>
      <c r="E80" s="129"/>
      <c r="F80" s="130"/>
      <c r="G80" s="129"/>
      <c r="H80" s="131"/>
      <c r="I80" s="132"/>
      <c r="J80" s="133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24"/>
      <c r="V80" s="224"/>
      <c r="W80" s="224"/>
      <c r="X80" s="224"/>
      <c r="Y80" s="224"/>
      <c r="Z80" s="133"/>
      <c r="AA80" s="133"/>
    </row>
    <row r="81" spans="1:27" x14ac:dyDescent="0.25">
      <c r="A81" s="109" t="s">
        <v>81</v>
      </c>
      <c r="E81" s="134"/>
      <c r="F81" s="112"/>
      <c r="G81" s="134"/>
      <c r="H81" s="108"/>
      <c r="I81" s="45">
        <f>'LWF Jordan'!G81</f>
        <v>54927.840000000004</v>
      </c>
      <c r="J81" s="46">
        <f>I81*C4</f>
        <v>54927.840000000004</v>
      </c>
      <c r="K81" s="243"/>
      <c r="L81" s="243"/>
      <c r="M81" s="243"/>
      <c r="N81" s="243"/>
      <c r="O81" s="243"/>
      <c r="P81" s="243"/>
      <c r="Q81" s="243"/>
      <c r="R81" s="243"/>
      <c r="S81" s="243"/>
      <c r="T81" s="250"/>
      <c r="U81" s="264"/>
      <c r="V81" s="225">
        <f>U81-I81</f>
        <v>-54927.840000000004</v>
      </c>
      <c r="W81" s="231">
        <f>IF(I81=0,0,V81/I81)</f>
        <v>-1</v>
      </c>
      <c r="X81" s="225">
        <f>U81*C4</f>
        <v>0</v>
      </c>
      <c r="Y81" s="225">
        <f>X81-J81</f>
        <v>-54927.840000000004</v>
      </c>
      <c r="Z81" s="234">
        <f>IF(J81=0,0,Y81/J81)</f>
        <v>-1</v>
      </c>
      <c r="AA81" s="234"/>
    </row>
    <row r="82" spans="1:27" x14ac:dyDescent="0.25">
      <c r="A82" s="109" t="s">
        <v>183</v>
      </c>
      <c r="B82" s="109"/>
      <c r="E82" s="135"/>
      <c r="F82" s="4"/>
      <c r="G82" s="135"/>
      <c r="H82" s="3"/>
      <c r="I82" s="3">
        <f>'DSPR Jordan'!G98+'DSPR Lebanon'!G98+'FCA Jordan'!G98+'FCA Syria'!G98+'IOCC Jordan'!G101+'IOCC Lebanon'!G98+'IOCC Syria'!G98+'LWF Jordan'!G101+'MECC Lebanon'!G98+'MECC Syria'!G101</f>
        <v>97381.089599999992</v>
      </c>
      <c r="J82" s="46">
        <f>I82*C4</f>
        <v>97381.089599999992</v>
      </c>
      <c r="K82" s="242"/>
      <c r="L82" s="242"/>
      <c r="M82" s="242"/>
      <c r="N82" s="242"/>
      <c r="O82" s="242"/>
      <c r="P82" s="242"/>
      <c r="Q82" s="242"/>
      <c r="R82" s="242"/>
      <c r="S82" s="242"/>
      <c r="T82" s="251"/>
      <c r="U82" s="262"/>
      <c r="V82" s="225">
        <f t="shared" ref="V82:V145" si="0">U82-I82</f>
        <v>-97381.089599999992</v>
      </c>
      <c r="W82" s="231">
        <f t="shared" ref="W82:W145" si="1">IF(I82=0,0,V82/I82)</f>
        <v>-1</v>
      </c>
      <c r="X82" s="225">
        <f>U82*C4</f>
        <v>0</v>
      </c>
      <c r="Y82" s="225">
        <f t="shared" ref="Y82:Y145" si="2">X82-J82</f>
        <v>-97381.089599999992</v>
      </c>
      <c r="Z82" s="234">
        <f t="shared" ref="Z82:Z145" si="3">IF(J82=0,0,Y82/J82)</f>
        <v>-1</v>
      </c>
      <c r="AA82" s="234"/>
    </row>
    <row r="83" spans="1:27" hidden="1" x14ac:dyDescent="0.25">
      <c r="A83" s="136" t="s">
        <v>80</v>
      </c>
      <c r="B83" s="137"/>
      <c r="E83" s="134"/>
      <c r="F83" s="112"/>
      <c r="G83" s="134"/>
      <c r="H83" s="108"/>
      <c r="I83" s="47">
        <f t="shared" ref="I83:I88" si="4">G83*H83</f>
        <v>0</v>
      </c>
      <c r="J83" s="46">
        <f>I83*C6</f>
        <v>0</v>
      </c>
      <c r="K83" s="242"/>
      <c r="L83" s="242"/>
      <c r="M83" s="242"/>
      <c r="N83" s="242"/>
      <c r="O83" s="242"/>
      <c r="P83" s="242"/>
      <c r="Q83" s="242"/>
      <c r="R83" s="242"/>
      <c r="S83" s="242"/>
      <c r="T83" s="251"/>
      <c r="U83" s="262"/>
      <c r="V83" s="225">
        <f t="shared" si="0"/>
        <v>0</v>
      </c>
      <c r="W83" s="231">
        <f t="shared" si="1"/>
        <v>0</v>
      </c>
      <c r="X83" s="225">
        <f t="shared" ref="X83:X145" si="5">U83*C6</f>
        <v>0</v>
      </c>
      <c r="Y83" s="225">
        <f t="shared" si="2"/>
        <v>0</v>
      </c>
      <c r="Z83" s="234">
        <f t="shared" si="3"/>
        <v>0</v>
      </c>
      <c r="AA83" s="234"/>
    </row>
    <row r="84" spans="1:27" hidden="1" x14ac:dyDescent="0.25">
      <c r="A84" s="139" t="s">
        <v>83</v>
      </c>
      <c r="B84" s="140"/>
      <c r="E84" s="134"/>
      <c r="F84" s="112"/>
      <c r="G84" s="134"/>
      <c r="H84" s="108"/>
      <c r="I84" s="47">
        <f t="shared" si="4"/>
        <v>0</v>
      </c>
      <c r="J84" s="46">
        <f>I84*C6</f>
        <v>0</v>
      </c>
      <c r="K84" s="242"/>
      <c r="L84" s="242"/>
      <c r="M84" s="242"/>
      <c r="N84" s="242"/>
      <c r="O84" s="242"/>
      <c r="P84" s="242"/>
      <c r="Q84" s="242"/>
      <c r="R84" s="242"/>
      <c r="S84" s="242"/>
      <c r="T84" s="251"/>
      <c r="U84" s="262"/>
      <c r="V84" s="225">
        <f t="shared" si="0"/>
        <v>0</v>
      </c>
      <c r="W84" s="231">
        <f t="shared" si="1"/>
        <v>0</v>
      </c>
      <c r="X84" s="225">
        <f t="shared" si="5"/>
        <v>0</v>
      </c>
      <c r="Y84" s="225">
        <f t="shared" si="2"/>
        <v>0</v>
      </c>
      <c r="Z84" s="234">
        <f t="shared" si="3"/>
        <v>0</v>
      </c>
      <c r="AA84" s="234"/>
    </row>
    <row r="85" spans="1:27" hidden="1" x14ac:dyDescent="0.25">
      <c r="A85" s="139" t="s">
        <v>84</v>
      </c>
      <c r="B85" s="140"/>
      <c r="E85" s="134"/>
      <c r="F85" s="112"/>
      <c r="G85" s="134"/>
      <c r="H85" s="108"/>
      <c r="I85" s="47">
        <f t="shared" si="4"/>
        <v>0</v>
      </c>
      <c r="J85" s="46" t="e">
        <f>I85*C8</f>
        <v>#VALUE!</v>
      </c>
      <c r="K85" s="242"/>
      <c r="L85" s="242"/>
      <c r="M85" s="242"/>
      <c r="N85" s="242"/>
      <c r="O85" s="242"/>
      <c r="P85" s="242"/>
      <c r="Q85" s="242"/>
      <c r="R85" s="242"/>
      <c r="S85" s="242"/>
      <c r="T85" s="251"/>
      <c r="U85" s="262"/>
      <c r="V85" s="225">
        <f t="shared" si="0"/>
        <v>0</v>
      </c>
      <c r="W85" s="231">
        <f t="shared" si="1"/>
        <v>0</v>
      </c>
      <c r="X85" s="225" t="e">
        <f t="shared" si="5"/>
        <v>#VALUE!</v>
      </c>
      <c r="Y85" s="225" t="e">
        <f t="shared" si="2"/>
        <v>#VALUE!</v>
      </c>
      <c r="Z85" s="234" t="e">
        <f t="shared" si="3"/>
        <v>#VALUE!</v>
      </c>
      <c r="AA85" s="234"/>
    </row>
    <row r="86" spans="1:27" hidden="1" x14ac:dyDescent="0.25">
      <c r="A86" s="139" t="s">
        <v>85</v>
      </c>
      <c r="B86" s="140"/>
      <c r="E86" s="134"/>
      <c r="F86" s="112"/>
      <c r="G86" s="134"/>
      <c r="H86" s="108"/>
      <c r="I86" s="47">
        <f t="shared" si="4"/>
        <v>0</v>
      </c>
      <c r="J86" s="46" t="e">
        <f>I86*C8</f>
        <v>#VALUE!</v>
      </c>
      <c r="K86" s="242"/>
      <c r="L86" s="242"/>
      <c r="M86" s="242"/>
      <c r="N86" s="242"/>
      <c r="O86" s="242"/>
      <c r="P86" s="242"/>
      <c r="Q86" s="242"/>
      <c r="R86" s="242"/>
      <c r="S86" s="242"/>
      <c r="T86" s="251"/>
      <c r="U86" s="262"/>
      <c r="V86" s="225">
        <f t="shared" si="0"/>
        <v>0</v>
      </c>
      <c r="W86" s="231">
        <f t="shared" si="1"/>
        <v>0</v>
      </c>
      <c r="X86" s="225" t="e">
        <f t="shared" si="5"/>
        <v>#VALUE!</v>
      </c>
      <c r="Y86" s="225" t="e">
        <f t="shared" si="2"/>
        <v>#VALUE!</v>
      </c>
      <c r="Z86" s="234" t="e">
        <f t="shared" si="3"/>
        <v>#VALUE!</v>
      </c>
      <c r="AA86" s="234"/>
    </row>
    <row r="87" spans="1:27" hidden="1" x14ac:dyDescent="0.25">
      <c r="A87" s="139" t="s">
        <v>86</v>
      </c>
      <c r="B87" s="140"/>
      <c r="E87" s="134"/>
      <c r="F87" s="112"/>
      <c r="G87" s="134"/>
      <c r="H87" s="108"/>
      <c r="I87" s="47">
        <f t="shared" si="4"/>
        <v>0</v>
      </c>
      <c r="J87" s="46" t="e">
        <f>I87*C10</f>
        <v>#VALUE!</v>
      </c>
      <c r="K87" s="242"/>
      <c r="L87" s="242"/>
      <c r="M87" s="242"/>
      <c r="N87" s="242"/>
      <c r="O87" s="242"/>
      <c r="P87" s="242"/>
      <c r="Q87" s="242"/>
      <c r="R87" s="242"/>
      <c r="S87" s="242"/>
      <c r="T87" s="251"/>
      <c r="U87" s="262"/>
      <c r="V87" s="225">
        <f t="shared" si="0"/>
        <v>0</v>
      </c>
      <c r="W87" s="231">
        <f t="shared" si="1"/>
        <v>0</v>
      </c>
      <c r="X87" s="225" t="e">
        <f t="shared" si="5"/>
        <v>#VALUE!</v>
      </c>
      <c r="Y87" s="225" t="e">
        <f t="shared" si="2"/>
        <v>#VALUE!</v>
      </c>
      <c r="Z87" s="234" t="e">
        <f t="shared" si="3"/>
        <v>#VALUE!</v>
      </c>
      <c r="AA87" s="234"/>
    </row>
    <row r="88" spans="1:27" hidden="1" x14ac:dyDescent="0.25">
      <c r="A88" s="139" t="s">
        <v>87</v>
      </c>
      <c r="B88" s="140"/>
      <c r="E88" s="134"/>
      <c r="F88" s="112"/>
      <c r="G88" s="134"/>
      <c r="H88" s="108"/>
      <c r="I88" s="47">
        <f t="shared" si="4"/>
        <v>0</v>
      </c>
      <c r="J88" s="46" t="e">
        <f>I88*C10</f>
        <v>#VALUE!</v>
      </c>
      <c r="K88" s="242"/>
      <c r="L88" s="242"/>
      <c r="M88" s="242"/>
      <c r="N88" s="242"/>
      <c r="O88" s="242"/>
      <c r="P88" s="242"/>
      <c r="Q88" s="242"/>
      <c r="R88" s="242"/>
      <c r="S88" s="242"/>
      <c r="T88" s="251"/>
      <c r="U88" s="262"/>
      <c r="V88" s="225">
        <f t="shared" si="0"/>
        <v>0</v>
      </c>
      <c r="W88" s="231">
        <f t="shared" si="1"/>
        <v>0</v>
      </c>
      <c r="X88" s="225">
        <f t="shared" si="5"/>
        <v>0</v>
      </c>
      <c r="Y88" s="225" t="e">
        <f t="shared" si="2"/>
        <v>#VALUE!</v>
      </c>
      <c r="Z88" s="234" t="e">
        <f t="shared" si="3"/>
        <v>#VALUE!</v>
      </c>
      <c r="AA88" s="234"/>
    </row>
    <row r="89" spans="1:27" hidden="1" x14ac:dyDescent="0.25">
      <c r="A89" s="141"/>
      <c r="B89" s="140"/>
      <c r="E89" s="142"/>
      <c r="F89" s="2"/>
      <c r="G89" s="142"/>
      <c r="H89" s="143"/>
      <c r="I89" s="48"/>
      <c r="J89" s="46">
        <f>I89*C12</f>
        <v>0</v>
      </c>
      <c r="K89" s="242"/>
      <c r="L89" s="242"/>
      <c r="M89" s="242"/>
      <c r="N89" s="242"/>
      <c r="O89" s="242"/>
      <c r="P89" s="242"/>
      <c r="Q89" s="242"/>
      <c r="R89" s="242"/>
      <c r="S89" s="242"/>
      <c r="T89" s="251"/>
      <c r="U89" s="262"/>
      <c r="V89" s="225">
        <f t="shared" si="0"/>
        <v>0</v>
      </c>
      <c r="W89" s="231">
        <f t="shared" si="1"/>
        <v>0</v>
      </c>
      <c r="X89" s="225">
        <f t="shared" si="5"/>
        <v>0</v>
      </c>
      <c r="Y89" s="225">
        <f t="shared" si="2"/>
        <v>0</v>
      </c>
      <c r="Z89" s="234">
        <f t="shared" si="3"/>
        <v>0</v>
      </c>
      <c r="AA89" s="234"/>
    </row>
    <row r="90" spans="1:27" x14ac:dyDescent="0.25">
      <c r="A90" s="109" t="s">
        <v>182</v>
      </c>
      <c r="E90" s="142"/>
      <c r="F90" s="2"/>
      <c r="G90" s="142"/>
      <c r="H90" s="143"/>
      <c r="I90" s="48">
        <f>'DSPR Jordan'!G99+'DSPR Lebanon'!G99+'FCA Jordan'!G99+'FCA Syria'!G99+'IOCC Jordan'!G102+'IOCC Lebanon'!G99+'IOCC Syria'!G99+'LWF Jordan'!G102+'MECC Lebanon'!G99+'MECC Syria'!G102</f>
        <v>917158.49344000011</v>
      </c>
      <c r="J90" s="46">
        <f>I90*C4</f>
        <v>917158.49344000011</v>
      </c>
      <c r="K90" s="242"/>
      <c r="L90" s="242"/>
      <c r="M90" s="242"/>
      <c r="N90" s="242"/>
      <c r="O90" s="242"/>
      <c r="P90" s="242"/>
      <c r="Q90" s="242"/>
      <c r="R90" s="242"/>
      <c r="S90" s="242"/>
      <c r="T90" s="251"/>
      <c r="U90" s="262"/>
      <c r="V90" s="225">
        <f t="shared" si="0"/>
        <v>-917158.49344000011</v>
      </c>
      <c r="W90" s="231">
        <f t="shared" si="1"/>
        <v>-1</v>
      </c>
      <c r="X90" s="225">
        <f>U90*C4</f>
        <v>0</v>
      </c>
      <c r="Y90" s="225">
        <f t="shared" si="2"/>
        <v>-917158.49344000011</v>
      </c>
      <c r="Z90" s="234">
        <f t="shared" si="3"/>
        <v>-1</v>
      </c>
      <c r="AA90" s="234"/>
    </row>
    <row r="91" spans="1:27" hidden="1" x14ac:dyDescent="0.25">
      <c r="A91" s="77" t="s">
        <v>82</v>
      </c>
      <c r="B91" s="140"/>
      <c r="E91" s="134"/>
      <c r="F91" s="112"/>
      <c r="G91" s="134"/>
      <c r="H91" s="108"/>
      <c r="I91" s="48">
        <f t="shared" ref="I91:I96" si="6">G91*H91</f>
        <v>0</v>
      </c>
      <c r="J91" s="49">
        <f>I91*C4</f>
        <v>0</v>
      </c>
      <c r="K91" s="242"/>
      <c r="L91" s="242"/>
      <c r="M91" s="242"/>
      <c r="N91" s="242"/>
      <c r="O91" s="242"/>
      <c r="P91" s="242"/>
      <c r="Q91" s="242"/>
      <c r="R91" s="242"/>
      <c r="S91" s="242"/>
      <c r="T91" s="251"/>
      <c r="U91" s="257"/>
      <c r="V91" s="225">
        <f t="shared" si="0"/>
        <v>0</v>
      </c>
      <c r="W91" s="231">
        <f t="shared" si="1"/>
        <v>0</v>
      </c>
      <c r="X91" s="225">
        <f t="shared" si="5"/>
        <v>0</v>
      </c>
      <c r="Y91" s="225">
        <f t="shared" si="2"/>
        <v>0</v>
      </c>
      <c r="Z91" s="234">
        <f t="shared" si="3"/>
        <v>0</v>
      </c>
      <c r="AA91" s="234"/>
    </row>
    <row r="92" spans="1:27" hidden="1" x14ac:dyDescent="0.25">
      <c r="A92" s="144" t="s">
        <v>88</v>
      </c>
      <c r="B92" s="140"/>
      <c r="E92" s="134"/>
      <c r="F92" s="112"/>
      <c r="G92" s="134"/>
      <c r="H92" s="108"/>
      <c r="I92" s="48">
        <f t="shared" si="6"/>
        <v>0</v>
      </c>
      <c r="J92" s="49">
        <f>I92*C4</f>
        <v>0</v>
      </c>
      <c r="K92" s="242"/>
      <c r="L92" s="242"/>
      <c r="M92" s="242"/>
      <c r="N92" s="242"/>
      <c r="O92" s="242"/>
      <c r="P92" s="242"/>
      <c r="Q92" s="242"/>
      <c r="R92" s="242"/>
      <c r="S92" s="242"/>
      <c r="T92" s="251"/>
      <c r="U92" s="257"/>
      <c r="V92" s="225">
        <f t="shared" si="0"/>
        <v>0</v>
      </c>
      <c r="W92" s="231">
        <f t="shared" si="1"/>
        <v>0</v>
      </c>
      <c r="X92" s="225">
        <f t="shared" si="5"/>
        <v>0</v>
      </c>
      <c r="Y92" s="225">
        <f t="shared" si="2"/>
        <v>0</v>
      </c>
      <c r="Z92" s="234">
        <f t="shared" si="3"/>
        <v>0</v>
      </c>
      <c r="AA92" s="234"/>
    </row>
    <row r="93" spans="1:27" hidden="1" x14ac:dyDescent="0.25">
      <c r="A93" s="144" t="s">
        <v>89</v>
      </c>
      <c r="B93" s="140"/>
      <c r="E93" s="134"/>
      <c r="F93" s="112"/>
      <c r="G93" s="134"/>
      <c r="H93" s="108"/>
      <c r="I93" s="48">
        <f t="shared" si="6"/>
        <v>0</v>
      </c>
      <c r="J93" s="49">
        <f>I93*C4</f>
        <v>0</v>
      </c>
      <c r="K93" s="242"/>
      <c r="L93" s="242"/>
      <c r="M93" s="242"/>
      <c r="N93" s="242"/>
      <c r="O93" s="242"/>
      <c r="P93" s="242"/>
      <c r="Q93" s="242"/>
      <c r="R93" s="242"/>
      <c r="S93" s="242"/>
      <c r="T93" s="251"/>
      <c r="U93" s="257"/>
      <c r="V93" s="225">
        <f t="shared" si="0"/>
        <v>0</v>
      </c>
      <c r="W93" s="231">
        <f t="shared" si="1"/>
        <v>0</v>
      </c>
      <c r="X93" s="225">
        <f t="shared" si="5"/>
        <v>0</v>
      </c>
      <c r="Y93" s="225">
        <f t="shared" si="2"/>
        <v>0</v>
      </c>
      <c r="Z93" s="234">
        <f t="shared" si="3"/>
        <v>0</v>
      </c>
      <c r="AA93" s="234"/>
    </row>
    <row r="94" spans="1:27" hidden="1" x14ac:dyDescent="0.25">
      <c r="A94" s="144" t="s">
        <v>90</v>
      </c>
      <c r="B94" s="140"/>
      <c r="E94" s="134"/>
      <c r="F94" s="112"/>
      <c r="G94" s="134"/>
      <c r="H94" s="108"/>
      <c r="I94" s="48">
        <f t="shared" si="6"/>
        <v>0</v>
      </c>
      <c r="J94" s="49">
        <f>I94*C4</f>
        <v>0</v>
      </c>
      <c r="K94" s="242"/>
      <c r="L94" s="242"/>
      <c r="M94" s="242"/>
      <c r="N94" s="242"/>
      <c r="O94" s="242"/>
      <c r="P94" s="242"/>
      <c r="Q94" s="242"/>
      <c r="R94" s="242"/>
      <c r="S94" s="242"/>
      <c r="T94" s="251"/>
      <c r="U94" s="257"/>
      <c r="V94" s="225">
        <f t="shared" si="0"/>
        <v>0</v>
      </c>
      <c r="W94" s="231">
        <f t="shared" si="1"/>
        <v>0</v>
      </c>
      <c r="X94" s="225" t="e">
        <f t="shared" si="5"/>
        <v>#VALUE!</v>
      </c>
      <c r="Y94" s="225" t="e">
        <f t="shared" si="2"/>
        <v>#VALUE!</v>
      </c>
      <c r="Z94" s="234">
        <f t="shared" si="3"/>
        <v>0</v>
      </c>
      <c r="AA94" s="234"/>
    </row>
    <row r="95" spans="1:27" hidden="1" x14ac:dyDescent="0.25">
      <c r="A95" s="144" t="s">
        <v>91</v>
      </c>
      <c r="B95" s="140"/>
      <c r="E95" s="134"/>
      <c r="F95" s="112"/>
      <c r="G95" s="134"/>
      <c r="H95" s="108"/>
      <c r="I95" s="48">
        <f t="shared" si="6"/>
        <v>0</v>
      </c>
      <c r="J95" s="49">
        <f>I95*C4</f>
        <v>0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51"/>
      <c r="U95" s="257"/>
      <c r="V95" s="225">
        <f t="shared" si="0"/>
        <v>0</v>
      </c>
      <c r="W95" s="231">
        <f t="shared" si="1"/>
        <v>0</v>
      </c>
      <c r="X95" s="225" t="e">
        <f t="shared" si="5"/>
        <v>#VALUE!</v>
      </c>
      <c r="Y95" s="225" t="e">
        <f t="shared" si="2"/>
        <v>#VALUE!</v>
      </c>
      <c r="Z95" s="234">
        <f t="shared" si="3"/>
        <v>0</v>
      </c>
      <c r="AA95" s="234"/>
    </row>
    <row r="96" spans="1:27" hidden="1" x14ac:dyDescent="0.25">
      <c r="A96" s="144" t="s">
        <v>92</v>
      </c>
      <c r="B96" s="140"/>
      <c r="E96" s="134"/>
      <c r="F96" s="112"/>
      <c r="G96" s="134"/>
      <c r="H96" s="108"/>
      <c r="I96" s="48">
        <f t="shared" si="6"/>
        <v>0</v>
      </c>
      <c r="J96" s="49">
        <f>I96*C4</f>
        <v>0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51"/>
      <c r="U96" s="257"/>
      <c r="V96" s="225">
        <f t="shared" si="0"/>
        <v>0</v>
      </c>
      <c r="W96" s="231">
        <f t="shared" si="1"/>
        <v>0</v>
      </c>
      <c r="X96" s="225" t="e">
        <f t="shared" si="5"/>
        <v>#VALUE!</v>
      </c>
      <c r="Y96" s="225" t="e">
        <f t="shared" si="2"/>
        <v>#VALUE!</v>
      </c>
      <c r="Z96" s="234">
        <f t="shared" si="3"/>
        <v>0</v>
      </c>
      <c r="AA96" s="234"/>
    </row>
    <row r="97" spans="1:27" x14ac:dyDescent="0.25">
      <c r="A97" s="87"/>
      <c r="B97" s="145"/>
      <c r="E97" s="82"/>
      <c r="F97" s="81"/>
      <c r="G97" s="82"/>
      <c r="H97" s="86"/>
      <c r="I97" s="48"/>
      <c r="J97" s="87"/>
      <c r="K97" s="241"/>
      <c r="L97" s="241"/>
      <c r="M97" s="241"/>
      <c r="N97" s="241"/>
      <c r="O97" s="241"/>
      <c r="P97" s="241"/>
      <c r="Q97" s="241"/>
      <c r="R97" s="241"/>
      <c r="S97" s="241"/>
      <c r="T97" s="252"/>
      <c r="U97" s="258"/>
      <c r="V97" s="225"/>
      <c r="W97" s="231"/>
      <c r="X97" s="225"/>
      <c r="Y97" s="225"/>
      <c r="Z97" s="234"/>
      <c r="AA97" s="234"/>
    </row>
    <row r="98" spans="1:27" ht="13.8" thickBot="1" x14ac:dyDescent="0.3">
      <c r="A98" s="99"/>
      <c r="B98" s="146" t="s">
        <v>79</v>
      </c>
      <c r="E98" s="122"/>
      <c r="F98" s="118"/>
      <c r="G98" s="122"/>
      <c r="H98" s="123"/>
      <c r="I98" s="50">
        <f>SUM(I81:I90)</f>
        <v>1069467.42304</v>
      </c>
      <c r="J98" s="50">
        <f>I98*C4</f>
        <v>1069467.42304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53"/>
      <c r="U98" s="263"/>
      <c r="V98" s="225">
        <f t="shared" si="0"/>
        <v>-1069467.42304</v>
      </c>
      <c r="W98" s="231">
        <f t="shared" si="1"/>
        <v>-1</v>
      </c>
      <c r="X98" s="225">
        <f>U98*C4</f>
        <v>0</v>
      </c>
      <c r="Y98" s="225">
        <f t="shared" si="2"/>
        <v>-1069467.42304</v>
      </c>
      <c r="Z98" s="234">
        <f t="shared" si="3"/>
        <v>-1</v>
      </c>
      <c r="AA98" s="234"/>
    </row>
    <row r="99" spans="1:27" ht="13.8" thickTop="1" x14ac:dyDescent="0.25">
      <c r="A99" s="87"/>
      <c r="B99" s="70"/>
      <c r="E99" s="82"/>
      <c r="F99" s="81"/>
      <c r="G99" s="82"/>
      <c r="H99" s="86"/>
      <c r="I99" s="86"/>
      <c r="J99" s="87"/>
      <c r="K99" s="241"/>
      <c r="L99" s="241"/>
      <c r="M99" s="241"/>
      <c r="N99" s="241"/>
      <c r="O99" s="241"/>
      <c r="P99" s="241"/>
      <c r="Q99" s="241"/>
      <c r="R99" s="241"/>
      <c r="S99" s="241"/>
      <c r="T99" s="252"/>
      <c r="U99" s="258"/>
      <c r="V99" s="225"/>
      <c r="W99" s="231"/>
      <c r="X99" s="225"/>
      <c r="Y99" s="225"/>
      <c r="Z99" s="234"/>
      <c r="AA99" s="234"/>
    </row>
    <row r="100" spans="1:27" x14ac:dyDescent="0.25">
      <c r="A100" s="125">
        <v>2</v>
      </c>
      <c r="B100" s="126" t="s">
        <v>93</v>
      </c>
      <c r="C100" s="127"/>
      <c r="D100" s="128"/>
      <c r="E100" s="129"/>
      <c r="F100" s="130"/>
      <c r="G100" s="129"/>
      <c r="H100" s="131"/>
      <c r="I100" s="131"/>
      <c r="J100" s="147"/>
      <c r="K100" s="241"/>
      <c r="L100" s="241"/>
      <c r="M100" s="241"/>
      <c r="N100" s="241"/>
      <c r="O100" s="241"/>
      <c r="P100" s="241"/>
      <c r="Q100" s="241"/>
      <c r="R100" s="241"/>
      <c r="S100" s="241"/>
      <c r="T100" s="252"/>
      <c r="U100" s="260"/>
      <c r="V100" s="230"/>
      <c r="W100" s="232"/>
      <c r="X100" s="230"/>
      <c r="Y100" s="230"/>
      <c r="Z100" s="235"/>
      <c r="AA100" s="235"/>
    </row>
    <row r="101" spans="1:27" x14ac:dyDescent="0.25">
      <c r="A101" s="148" t="s">
        <v>94</v>
      </c>
      <c r="B101" s="149" t="s">
        <v>66</v>
      </c>
      <c r="E101" s="150"/>
      <c r="F101" s="151"/>
      <c r="G101" s="150"/>
      <c r="H101" s="152"/>
      <c r="I101" s="48">
        <f>'DSPR Jordan'!G103+'DSPR Lebanon'!G103+'FCA Syria'!G103+'IOCC Jordan'!G106+'IOCC Syria'!G103</f>
        <v>1478391.3625</v>
      </c>
      <c r="J101" s="49">
        <f>I101*C4</f>
        <v>1478391.3625</v>
      </c>
      <c r="K101" s="242"/>
      <c r="L101" s="242"/>
      <c r="M101" s="242"/>
      <c r="N101" s="242"/>
      <c r="O101" s="242"/>
      <c r="P101" s="242"/>
      <c r="Q101" s="242"/>
      <c r="R101" s="242"/>
      <c r="S101" s="242"/>
      <c r="T101" s="251"/>
      <c r="U101" s="262"/>
      <c r="V101" s="225">
        <f t="shared" si="0"/>
        <v>-1478391.3625</v>
      </c>
      <c r="W101" s="231">
        <f t="shared" si="1"/>
        <v>-1</v>
      </c>
      <c r="X101" s="225">
        <f>U101*C4</f>
        <v>0</v>
      </c>
      <c r="Y101" s="225">
        <f t="shared" si="2"/>
        <v>-1478391.3625</v>
      </c>
      <c r="Z101" s="234">
        <f t="shared" si="3"/>
        <v>-1</v>
      </c>
      <c r="AA101" s="234"/>
    </row>
    <row r="102" spans="1:27" x14ac:dyDescent="0.25">
      <c r="A102" s="148" t="s">
        <v>95</v>
      </c>
      <c r="B102" s="149" t="s">
        <v>55</v>
      </c>
      <c r="E102" s="150"/>
      <c r="F102" s="151"/>
      <c r="G102" s="150"/>
      <c r="H102" s="152"/>
      <c r="I102" s="48">
        <f>'DSPR Jordan'!G108+'DSPR Lebanon'!G109+'IOCC Jordan'!G112+'IOCC Lebanon'!G109+'IOCC Syria'!G109</f>
        <v>736536</v>
      </c>
      <c r="J102" s="49">
        <f>I102*C4</f>
        <v>736536</v>
      </c>
      <c r="K102" s="242"/>
      <c r="L102" s="242"/>
      <c r="M102" s="242"/>
      <c r="N102" s="242"/>
      <c r="O102" s="242"/>
      <c r="P102" s="242"/>
      <c r="Q102" s="242"/>
      <c r="R102" s="242"/>
      <c r="S102" s="242"/>
      <c r="T102" s="251"/>
      <c r="U102" s="262"/>
      <c r="V102" s="225">
        <f t="shared" si="0"/>
        <v>-736536</v>
      </c>
      <c r="W102" s="231">
        <f t="shared" si="1"/>
        <v>-1</v>
      </c>
      <c r="X102" s="225">
        <f>U102*C4</f>
        <v>0</v>
      </c>
      <c r="Y102" s="225">
        <f t="shared" si="2"/>
        <v>-736536</v>
      </c>
      <c r="Z102" s="234">
        <f t="shared" si="3"/>
        <v>-1</v>
      </c>
      <c r="AA102" s="234"/>
    </row>
    <row r="103" spans="1:27" x14ac:dyDescent="0.25">
      <c r="A103" s="148" t="s">
        <v>96</v>
      </c>
      <c r="B103" s="149" t="s">
        <v>67</v>
      </c>
      <c r="E103" s="150"/>
      <c r="F103" s="151"/>
      <c r="G103" s="150"/>
      <c r="H103" s="152"/>
      <c r="I103" s="48">
        <f>'DSPR Lebanon'!G115+'IOCC Lebanon'!G116+'MECC Syria'!G118</f>
        <v>169375.00000000006</v>
      </c>
      <c r="J103" s="49">
        <f>I103*C4</f>
        <v>169375.00000000006</v>
      </c>
      <c r="K103" s="242"/>
      <c r="L103" s="242"/>
      <c r="M103" s="242"/>
      <c r="N103" s="242"/>
      <c r="O103" s="242"/>
      <c r="P103" s="242"/>
      <c r="Q103" s="242"/>
      <c r="R103" s="242"/>
      <c r="S103" s="242"/>
      <c r="T103" s="251"/>
      <c r="U103" s="262"/>
      <c r="V103" s="225">
        <f t="shared" si="0"/>
        <v>-169375.00000000006</v>
      </c>
      <c r="W103" s="231">
        <f t="shared" si="1"/>
        <v>-1</v>
      </c>
      <c r="X103" s="225">
        <f>U103*C4</f>
        <v>0</v>
      </c>
      <c r="Y103" s="225">
        <f t="shared" si="2"/>
        <v>-169375.00000000006</v>
      </c>
      <c r="Z103" s="234">
        <f t="shared" si="3"/>
        <v>-1</v>
      </c>
      <c r="AA103" s="234"/>
    </row>
    <row r="104" spans="1:27" x14ac:dyDescent="0.25">
      <c r="A104" s="148" t="s">
        <v>97</v>
      </c>
      <c r="B104" s="149" t="s">
        <v>68</v>
      </c>
      <c r="E104" s="150"/>
      <c r="F104" s="151"/>
      <c r="G104" s="150"/>
      <c r="H104" s="152"/>
      <c r="I104" s="48">
        <f>'DSPR Jordan'!G120+'IOCC Jordan'!G124+'IOCC Lebanon'!G122+'IOCC Syria'!G121+'MECC Lebanon'!G121+'MECC Syria'!G124</f>
        <v>593556</v>
      </c>
      <c r="J104" s="49">
        <f>I104*C4</f>
        <v>593556</v>
      </c>
      <c r="K104" s="242"/>
      <c r="L104" s="242"/>
      <c r="M104" s="242"/>
      <c r="N104" s="242"/>
      <c r="O104" s="242"/>
      <c r="P104" s="242"/>
      <c r="Q104" s="242"/>
      <c r="R104" s="242"/>
      <c r="S104" s="242"/>
      <c r="T104" s="251"/>
      <c r="U104" s="262"/>
      <c r="V104" s="225">
        <f t="shared" si="0"/>
        <v>-593556</v>
      </c>
      <c r="W104" s="231">
        <f t="shared" si="1"/>
        <v>-1</v>
      </c>
      <c r="X104" s="225">
        <f>U104*C4</f>
        <v>0</v>
      </c>
      <c r="Y104" s="225">
        <f t="shared" si="2"/>
        <v>-593556</v>
      </c>
      <c r="Z104" s="234">
        <f t="shared" si="3"/>
        <v>-1</v>
      </c>
      <c r="AA104" s="234"/>
    </row>
    <row r="105" spans="1:27" x14ac:dyDescent="0.25">
      <c r="A105" s="148" t="s">
        <v>98</v>
      </c>
      <c r="B105" s="149" t="s">
        <v>69</v>
      </c>
      <c r="E105" s="150"/>
      <c r="F105" s="151"/>
      <c r="G105" s="150"/>
      <c r="H105" s="152"/>
      <c r="I105" s="48">
        <f>'DSPR Jordan'!G126+'DSPR Lebanon'!G127+'FCA Jordan'!G127+'FCA Syria'!G127+'IOCC Jordan'!G130+'LWF Jordan'!G130+'MECC Lebanon'!G127+'MECC Syria'!G130</f>
        <v>787995.83718000003</v>
      </c>
      <c r="J105" s="49">
        <f>I105*C4</f>
        <v>787995.83718000003</v>
      </c>
      <c r="K105" s="242"/>
      <c r="L105" s="242"/>
      <c r="M105" s="242"/>
      <c r="N105" s="242"/>
      <c r="O105" s="242"/>
      <c r="P105" s="242"/>
      <c r="Q105" s="242"/>
      <c r="R105" s="242"/>
      <c r="S105" s="242"/>
      <c r="T105" s="251"/>
      <c r="U105" s="262"/>
      <c r="V105" s="225">
        <f t="shared" si="0"/>
        <v>-787995.83718000003</v>
      </c>
      <c r="W105" s="231">
        <f t="shared" si="1"/>
        <v>-1</v>
      </c>
      <c r="X105" s="225">
        <f>U105*C4</f>
        <v>0</v>
      </c>
      <c r="Y105" s="225">
        <f t="shared" si="2"/>
        <v>-787995.83718000003</v>
      </c>
      <c r="Z105" s="234">
        <f t="shared" si="3"/>
        <v>-1</v>
      </c>
      <c r="AA105" s="234"/>
    </row>
    <row r="106" spans="1:27" x14ac:dyDescent="0.25">
      <c r="A106" s="148" t="s">
        <v>99</v>
      </c>
      <c r="B106" s="149" t="s">
        <v>54</v>
      </c>
      <c r="E106" s="150"/>
      <c r="F106" s="151"/>
      <c r="G106" s="150"/>
      <c r="H106" s="152"/>
      <c r="I106" s="48">
        <f>'DSPR Jordan'!G132+'FCA Jordan'!G131+'IOCC Lebanon'!G134+'IOCC Syria'!G133+'LWF Jordan'!G147+'MECC Lebanon'!G133+'MECC Syria'!G136</f>
        <v>1351154.2794999999</v>
      </c>
      <c r="J106" s="49">
        <f>I106*C4</f>
        <v>1351154.2794999999</v>
      </c>
      <c r="K106" s="242"/>
      <c r="L106" s="242"/>
      <c r="M106" s="242"/>
      <c r="N106" s="242"/>
      <c r="O106" s="242"/>
      <c r="P106" s="242"/>
      <c r="Q106" s="242"/>
      <c r="R106" s="242"/>
      <c r="S106" s="242"/>
      <c r="T106" s="251"/>
      <c r="U106" s="262"/>
      <c r="V106" s="225">
        <f t="shared" si="0"/>
        <v>-1351154.2794999999</v>
      </c>
      <c r="W106" s="231">
        <f t="shared" si="1"/>
        <v>-1</v>
      </c>
      <c r="X106" s="225">
        <f>U106*C4</f>
        <v>0</v>
      </c>
      <c r="Y106" s="225">
        <f t="shared" si="2"/>
        <v>-1351154.2794999999</v>
      </c>
      <c r="Z106" s="234">
        <f t="shared" si="3"/>
        <v>-1</v>
      </c>
      <c r="AA106" s="234"/>
    </row>
    <row r="107" spans="1:27" x14ac:dyDescent="0.25">
      <c r="A107" s="148" t="s">
        <v>100</v>
      </c>
      <c r="B107" s="149" t="s">
        <v>53</v>
      </c>
      <c r="E107" s="150"/>
      <c r="F107" s="151"/>
      <c r="G107" s="150"/>
      <c r="H107" s="152"/>
      <c r="I107" s="48">
        <f>'DSPR Jordan'!G143+'DSPR Lebanon'!G139+'FCA Jordan'!G152+'FCA Syria'!G139+'IOCC Lebanon'!G140+'IOCC Syria'!G139+'MECC Lebanon'!G139+'MECC Syria'!G142</f>
        <v>1846044.9666666668</v>
      </c>
      <c r="J107" s="49">
        <f>I107*C4</f>
        <v>1846044.9666666668</v>
      </c>
      <c r="K107" s="242"/>
      <c r="L107" s="242"/>
      <c r="M107" s="242"/>
      <c r="N107" s="242"/>
      <c r="O107" s="242"/>
      <c r="P107" s="242"/>
      <c r="Q107" s="242"/>
      <c r="R107" s="242"/>
      <c r="S107" s="242"/>
      <c r="T107" s="251"/>
      <c r="U107" s="262"/>
      <c r="V107" s="225">
        <f t="shared" si="0"/>
        <v>-1846044.9666666668</v>
      </c>
      <c r="W107" s="231">
        <f t="shared" si="1"/>
        <v>-1</v>
      </c>
      <c r="X107" s="225">
        <f>U107*C4</f>
        <v>0</v>
      </c>
      <c r="Y107" s="225">
        <f t="shared" si="2"/>
        <v>-1846044.9666666668</v>
      </c>
      <c r="Z107" s="234">
        <f t="shared" si="3"/>
        <v>-1</v>
      </c>
      <c r="AA107" s="234"/>
    </row>
    <row r="108" spans="1:27" x14ac:dyDescent="0.25">
      <c r="A108" s="148" t="s">
        <v>101</v>
      </c>
      <c r="B108" s="149" t="s">
        <v>70</v>
      </c>
      <c r="E108" s="150"/>
      <c r="F108" s="151"/>
      <c r="G108" s="150"/>
      <c r="H108" s="152"/>
      <c r="I108" s="48">
        <f>'DSPR Jordan'!G152</f>
        <v>13516.8</v>
      </c>
      <c r="J108" s="49">
        <f>I108*C4</f>
        <v>13516.8</v>
      </c>
      <c r="K108" s="242"/>
      <c r="L108" s="242"/>
      <c r="M108" s="242"/>
      <c r="N108" s="242"/>
      <c r="O108" s="242"/>
      <c r="P108" s="242"/>
      <c r="Q108" s="242"/>
      <c r="R108" s="242"/>
      <c r="S108" s="242"/>
      <c r="T108" s="251"/>
      <c r="U108" s="262"/>
      <c r="V108" s="225">
        <f t="shared" si="0"/>
        <v>-13516.8</v>
      </c>
      <c r="W108" s="231">
        <f t="shared" si="1"/>
        <v>-1</v>
      </c>
      <c r="X108" s="225">
        <f>U108*C4</f>
        <v>0</v>
      </c>
      <c r="Y108" s="225">
        <f t="shared" si="2"/>
        <v>-13516.8</v>
      </c>
      <c r="Z108" s="234">
        <f t="shared" si="3"/>
        <v>-1</v>
      </c>
      <c r="AA108" s="234"/>
    </row>
    <row r="109" spans="1:27" x14ac:dyDescent="0.25">
      <c r="A109" s="153" t="s">
        <v>102</v>
      </c>
      <c r="B109" s="140" t="s">
        <v>295</v>
      </c>
      <c r="E109" s="150"/>
      <c r="F109" s="151"/>
      <c r="G109" s="150"/>
      <c r="H109" s="152"/>
      <c r="I109" s="48">
        <f>'LWF Jordan'!G165</f>
        <v>58656</v>
      </c>
      <c r="J109" s="49">
        <f>I109*C4</f>
        <v>58656</v>
      </c>
      <c r="K109" s="242"/>
      <c r="L109" s="242"/>
      <c r="M109" s="242"/>
      <c r="N109" s="242"/>
      <c r="O109" s="242"/>
      <c r="P109" s="242"/>
      <c r="Q109" s="242"/>
      <c r="R109" s="242"/>
      <c r="S109" s="242"/>
      <c r="T109" s="251"/>
      <c r="U109" s="262"/>
      <c r="V109" s="225">
        <f t="shared" si="0"/>
        <v>-58656</v>
      </c>
      <c r="W109" s="231">
        <f t="shared" si="1"/>
        <v>-1</v>
      </c>
      <c r="X109" s="225">
        <f>U109*C4</f>
        <v>0</v>
      </c>
      <c r="Y109" s="225">
        <f t="shared" si="2"/>
        <v>-58656</v>
      </c>
      <c r="Z109" s="234">
        <f t="shared" si="3"/>
        <v>-1</v>
      </c>
      <c r="AA109" s="234"/>
    </row>
    <row r="110" spans="1:27" x14ac:dyDescent="0.25">
      <c r="A110" s="148" t="s">
        <v>103</v>
      </c>
      <c r="B110" s="149" t="s">
        <v>296</v>
      </c>
      <c r="E110" s="150"/>
      <c r="F110" s="151"/>
      <c r="G110" s="150"/>
      <c r="H110" s="152"/>
      <c r="I110" s="48">
        <f>'DSPR Jordan'!G164</f>
        <v>0</v>
      </c>
      <c r="J110" s="49">
        <f>I110*C4</f>
        <v>0</v>
      </c>
      <c r="K110" s="242"/>
      <c r="L110" s="242"/>
      <c r="M110" s="242"/>
      <c r="N110" s="242"/>
      <c r="O110" s="242"/>
      <c r="P110" s="242"/>
      <c r="Q110" s="242"/>
      <c r="R110" s="242"/>
      <c r="S110" s="242"/>
      <c r="T110" s="251"/>
      <c r="U110" s="262"/>
      <c r="V110" s="225">
        <f t="shared" si="0"/>
        <v>0</v>
      </c>
      <c r="W110" s="231">
        <f t="shared" si="1"/>
        <v>0</v>
      </c>
      <c r="X110" s="225">
        <f>U110*C4</f>
        <v>0</v>
      </c>
      <c r="Y110" s="225">
        <f t="shared" si="2"/>
        <v>0</v>
      </c>
      <c r="Z110" s="234">
        <f t="shared" si="3"/>
        <v>0</v>
      </c>
      <c r="AA110" s="234"/>
    </row>
    <row r="111" spans="1:27" x14ac:dyDescent="0.25">
      <c r="B111" s="149"/>
      <c r="E111" s="154"/>
      <c r="F111" s="155"/>
      <c r="G111" s="154"/>
      <c r="H111" s="156"/>
      <c r="I111" s="48"/>
      <c r="K111" s="242"/>
      <c r="L111" s="242"/>
      <c r="M111" s="242"/>
      <c r="N111" s="242"/>
      <c r="O111" s="242"/>
      <c r="P111" s="242"/>
      <c r="Q111" s="242"/>
      <c r="R111" s="242"/>
      <c r="S111" s="242"/>
      <c r="T111" s="251"/>
      <c r="U111" s="257"/>
      <c r="V111" s="225"/>
      <c r="W111" s="231"/>
      <c r="X111" s="225"/>
      <c r="Y111" s="225"/>
      <c r="Z111" s="234"/>
      <c r="AA111" s="234"/>
    </row>
    <row r="112" spans="1:27" ht="13.8" thickBot="1" x14ac:dyDescent="0.3">
      <c r="A112" s="99"/>
      <c r="B112" s="146" t="s">
        <v>124</v>
      </c>
      <c r="E112" s="122"/>
      <c r="F112" s="118"/>
      <c r="G112" s="122"/>
      <c r="H112" s="123"/>
      <c r="I112" s="50">
        <f>SUM(I101:I110)</f>
        <v>7035226.2458466664</v>
      </c>
      <c r="J112" s="50">
        <f>I112*C4</f>
        <v>7035226.2458466664</v>
      </c>
      <c r="K112" s="244"/>
      <c r="L112" s="244"/>
      <c r="M112" s="244"/>
      <c r="N112" s="244"/>
      <c r="O112" s="244"/>
      <c r="P112" s="244"/>
      <c r="Q112" s="244"/>
      <c r="R112" s="244"/>
      <c r="S112" s="244"/>
      <c r="T112" s="253"/>
      <c r="U112" s="263"/>
      <c r="V112" s="225">
        <f t="shared" si="0"/>
        <v>-7035226.2458466664</v>
      </c>
      <c r="W112" s="231">
        <f t="shared" si="1"/>
        <v>-1</v>
      </c>
      <c r="X112" s="225">
        <f>U112*C4</f>
        <v>0</v>
      </c>
      <c r="Y112" s="225">
        <f t="shared" si="2"/>
        <v>-7035226.2458466664</v>
      </c>
      <c r="Z112" s="234">
        <f t="shared" si="3"/>
        <v>-1</v>
      </c>
      <c r="AA112" s="234"/>
    </row>
    <row r="113" spans="1:27" ht="13.8" thickTop="1" x14ac:dyDescent="0.25">
      <c r="E113" s="71"/>
      <c r="F113" s="80"/>
      <c r="G113" s="71"/>
      <c r="H113" s="72"/>
      <c r="J113" s="48"/>
      <c r="K113" s="245"/>
      <c r="L113" s="245"/>
      <c r="M113" s="245"/>
      <c r="N113" s="245"/>
      <c r="O113" s="245"/>
      <c r="P113" s="245"/>
      <c r="Q113" s="245"/>
      <c r="R113" s="245"/>
      <c r="S113" s="245"/>
      <c r="T113" s="254"/>
      <c r="U113" s="261"/>
      <c r="V113" s="225"/>
      <c r="W113" s="231"/>
      <c r="X113" s="225"/>
      <c r="Y113" s="225"/>
      <c r="Z113" s="234"/>
      <c r="AA113" s="234"/>
    </row>
    <row r="114" spans="1:27" x14ac:dyDescent="0.25">
      <c r="A114" s="125">
        <v>3</v>
      </c>
      <c r="B114" s="126" t="s">
        <v>127</v>
      </c>
      <c r="C114" s="127"/>
      <c r="D114" s="128"/>
      <c r="E114" s="129"/>
      <c r="F114" s="130"/>
      <c r="G114" s="129"/>
      <c r="H114" s="131"/>
      <c r="I114" s="131"/>
      <c r="J114" s="147"/>
      <c r="K114" s="241"/>
      <c r="L114" s="241"/>
      <c r="M114" s="241"/>
      <c r="N114" s="241"/>
      <c r="O114" s="241"/>
      <c r="P114" s="241"/>
      <c r="Q114" s="241"/>
      <c r="R114" s="241"/>
      <c r="S114" s="241"/>
      <c r="T114" s="252"/>
      <c r="U114" s="260"/>
      <c r="V114" s="230"/>
      <c r="W114" s="232"/>
      <c r="X114" s="230"/>
      <c r="Y114" s="230"/>
      <c r="Z114" s="235"/>
      <c r="AA114" s="235"/>
    </row>
    <row r="115" spans="1:27" hidden="1" x14ac:dyDescent="0.25">
      <c r="A115" s="157" t="s">
        <v>132</v>
      </c>
      <c r="B115" s="140" t="s">
        <v>110</v>
      </c>
      <c r="E115" s="134"/>
      <c r="F115" s="112"/>
      <c r="G115" s="134"/>
      <c r="H115" s="108"/>
      <c r="I115" s="3">
        <f t="shared" ref="I115:I121" si="7">G115*H115</f>
        <v>0</v>
      </c>
      <c r="J115" s="51">
        <f>I115*C4</f>
        <v>0</v>
      </c>
      <c r="K115" s="242"/>
      <c r="L115" s="242"/>
      <c r="M115" s="242"/>
      <c r="N115" s="242"/>
      <c r="O115" s="242"/>
      <c r="P115" s="242"/>
      <c r="Q115" s="242"/>
      <c r="R115" s="242"/>
      <c r="S115" s="242"/>
      <c r="T115" s="251"/>
      <c r="U115" s="256"/>
      <c r="V115" s="225">
        <f t="shared" si="0"/>
        <v>0</v>
      </c>
      <c r="W115" s="231">
        <f t="shared" si="1"/>
        <v>0</v>
      </c>
      <c r="X115" s="225">
        <f t="shared" si="5"/>
        <v>0</v>
      </c>
      <c r="Y115" s="225">
        <f t="shared" si="2"/>
        <v>0</v>
      </c>
      <c r="Z115" s="234">
        <f t="shared" si="3"/>
        <v>0</v>
      </c>
      <c r="AA115" s="234"/>
    </row>
    <row r="116" spans="1:27" hidden="1" x14ac:dyDescent="0.25">
      <c r="A116" s="157" t="s">
        <v>133</v>
      </c>
      <c r="B116" s="140" t="s">
        <v>48</v>
      </c>
      <c r="E116" s="134"/>
      <c r="F116" s="112"/>
      <c r="G116" s="134"/>
      <c r="H116" s="108"/>
      <c r="I116" s="3">
        <f t="shared" si="7"/>
        <v>0</v>
      </c>
      <c r="J116" s="51">
        <f>I116*C4</f>
        <v>0</v>
      </c>
      <c r="K116" s="242"/>
      <c r="L116" s="242"/>
      <c r="M116" s="242"/>
      <c r="N116" s="242"/>
      <c r="O116" s="242"/>
      <c r="P116" s="242"/>
      <c r="Q116" s="242"/>
      <c r="R116" s="242"/>
      <c r="S116" s="242"/>
      <c r="T116" s="251"/>
      <c r="U116" s="256"/>
      <c r="V116" s="225">
        <f t="shared" si="0"/>
        <v>0</v>
      </c>
      <c r="W116" s="231">
        <f t="shared" si="1"/>
        <v>0</v>
      </c>
      <c r="X116" s="225">
        <f t="shared" si="5"/>
        <v>0</v>
      </c>
      <c r="Y116" s="225">
        <f t="shared" si="2"/>
        <v>0</v>
      </c>
      <c r="Z116" s="234">
        <f t="shared" si="3"/>
        <v>0</v>
      </c>
      <c r="AA116" s="234"/>
    </row>
    <row r="117" spans="1:27" hidden="1" x14ac:dyDescent="0.25">
      <c r="A117" s="157" t="s">
        <v>134</v>
      </c>
      <c r="B117" s="140" t="s">
        <v>106</v>
      </c>
      <c r="E117" s="158"/>
      <c r="F117" s="159"/>
      <c r="G117" s="158"/>
      <c r="H117" s="160"/>
      <c r="I117" s="3">
        <f t="shared" si="7"/>
        <v>0</v>
      </c>
      <c r="J117" s="51">
        <f>I117*C4</f>
        <v>0</v>
      </c>
      <c r="K117" s="242"/>
      <c r="L117" s="242"/>
      <c r="M117" s="242"/>
      <c r="N117" s="242"/>
      <c r="O117" s="242"/>
      <c r="P117" s="242"/>
      <c r="Q117" s="242"/>
      <c r="R117" s="242"/>
      <c r="S117" s="242"/>
      <c r="T117" s="251"/>
      <c r="U117" s="256"/>
      <c r="V117" s="225">
        <f t="shared" si="0"/>
        <v>0</v>
      </c>
      <c r="W117" s="231">
        <f t="shared" si="1"/>
        <v>0</v>
      </c>
      <c r="X117" s="225">
        <f t="shared" si="5"/>
        <v>0</v>
      </c>
      <c r="Y117" s="225">
        <f t="shared" si="2"/>
        <v>0</v>
      </c>
      <c r="Z117" s="234">
        <f t="shared" si="3"/>
        <v>0</v>
      </c>
      <c r="AA117" s="234"/>
    </row>
    <row r="118" spans="1:27" hidden="1" x14ac:dyDescent="0.25">
      <c r="A118" s="157" t="s">
        <v>135</v>
      </c>
      <c r="B118" s="140" t="s">
        <v>140</v>
      </c>
      <c r="E118" s="158"/>
      <c r="F118" s="159"/>
      <c r="G118" s="158"/>
      <c r="H118" s="160"/>
      <c r="I118" s="3">
        <f t="shared" si="7"/>
        <v>0</v>
      </c>
      <c r="J118" s="51">
        <f>I118*C4</f>
        <v>0</v>
      </c>
      <c r="K118" s="242"/>
      <c r="L118" s="242"/>
      <c r="M118" s="242"/>
      <c r="N118" s="242"/>
      <c r="O118" s="242"/>
      <c r="P118" s="242"/>
      <c r="Q118" s="242"/>
      <c r="R118" s="242"/>
      <c r="S118" s="242"/>
      <c r="T118" s="251"/>
      <c r="U118" s="256"/>
      <c r="V118" s="225">
        <f t="shared" si="0"/>
        <v>0</v>
      </c>
      <c r="W118" s="231">
        <f t="shared" si="1"/>
        <v>0</v>
      </c>
      <c r="X118" s="225">
        <f t="shared" si="5"/>
        <v>0</v>
      </c>
      <c r="Y118" s="225">
        <f t="shared" si="2"/>
        <v>0</v>
      </c>
      <c r="Z118" s="234">
        <f t="shared" si="3"/>
        <v>0</v>
      </c>
      <c r="AA118" s="234"/>
    </row>
    <row r="119" spans="1:27" ht="15" hidden="1" customHeight="1" x14ac:dyDescent="0.25">
      <c r="A119" s="157" t="s">
        <v>136</v>
      </c>
      <c r="B119" s="140" t="s">
        <v>141</v>
      </c>
      <c r="E119" s="158"/>
      <c r="F119" s="159"/>
      <c r="G119" s="158"/>
      <c r="H119" s="160"/>
      <c r="I119" s="3">
        <f t="shared" si="7"/>
        <v>0</v>
      </c>
      <c r="J119" s="51">
        <f>I119*C4</f>
        <v>0</v>
      </c>
      <c r="K119" s="242"/>
      <c r="L119" s="242"/>
      <c r="M119" s="242"/>
      <c r="N119" s="242"/>
      <c r="O119" s="242"/>
      <c r="P119" s="242"/>
      <c r="Q119" s="242"/>
      <c r="R119" s="242"/>
      <c r="S119" s="242"/>
      <c r="T119" s="251"/>
      <c r="U119" s="256"/>
      <c r="V119" s="225">
        <f t="shared" si="0"/>
        <v>0</v>
      </c>
      <c r="W119" s="231">
        <f t="shared" si="1"/>
        <v>0</v>
      </c>
      <c r="X119" s="225">
        <f t="shared" si="5"/>
        <v>0</v>
      </c>
      <c r="Y119" s="225">
        <f t="shared" si="2"/>
        <v>0</v>
      </c>
      <c r="Z119" s="234">
        <f t="shared" si="3"/>
        <v>0</v>
      </c>
      <c r="AA119" s="234"/>
    </row>
    <row r="120" spans="1:27" hidden="1" x14ac:dyDescent="0.25">
      <c r="A120" s="157" t="s">
        <v>137</v>
      </c>
      <c r="B120" s="140" t="s">
        <v>139</v>
      </c>
      <c r="E120" s="158"/>
      <c r="F120" s="159"/>
      <c r="G120" s="158"/>
      <c r="H120" s="160"/>
      <c r="I120" s="3">
        <f t="shared" si="7"/>
        <v>0</v>
      </c>
      <c r="J120" s="51">
        <f>I120*C4</f>
        <v>0</v>
      </c>
      <c r="K120" s="242"/>
      <c r="L120" s="242"/>
      <c r="M120" s="242"/>
      <c r="N120" s="242"/>
      <c r="O120" s="242"/>
      <c r="P120" s="242"/>
      <c r="Q120" s="242"/>
      <c r="R120" s="242"/>
      <c r="S120" s="242"/>
      <c r="T120" s="251"/>
      <c r="U120" s="256"/>
      <c r="V120" s="225">
        <f t="shared" si="0"/>
        <v>0</v>
      </c>
      <c r="W120" s="231">
        <f t="shared" si="1"/>
        <v>0</v>
      </c>
      <c r="X120" s="225">
        <f t="shared" si="5"/>
        <v>0</v>
      </c>
      <c r="Y120" s="225">
        <f t="shared" si="2"/>
        <v>0</v>
      </c>
      <c r="Z120" s="234">
        <f t="shared" si="3"/>
        <v>0</v>
      </c>
      <c r="AA120" s="234"/>
    </row>
    <row r="121" spans="1:27" hidden="1" x14ac:dyDescent="0.25">
      <c r="A121" s="157" t="s">
        <v>138</v>
      </c>
      <c r="B121" s="140" t="s">
        <v>165</v>
      </c>
      <c r="E121" s="158"/>
      <c r="F121" s="159"/>
      <c r="G121" s="158"/>
      <c r="H121" s="160"/>
      <c r="I121" s="3">
        <f t="shared" si="7"/>
        <v>0</v>
      </c>
      <c r="J121" s="51">
        <f>I121*C4</f>
        <v>0</v>
      </c>
      <c r="K121" s="242"/>
      <c r="L121" s="242"/>
      <c r="M121" s="242"/>
      <c r="N121" s="242"/>
      <c r="O121" s="242"/>
      <c r="P121" s="242"/>
      <c r="Q121" s="242"/>
      <c r="R121" s="242"/>
      <c r="S121" s="242"/>
      <c r="T121" s="251"/>
      <c r="U121" s="256"/>
      <c r="V121" s="225">
        <f t="shared" si="0"/>
        <v>0</v>
      </c>
      <c r="W121" s="231">
        <f t="shared" si="1"/>
        <v>0</v>
      </c>
      <c r="X121" s="225">
        <f t="shared" si="5"/>
        <v>0</v>
      </c>
      <c r="Y121" s="225">
        <f t="shared" si="2"/>
        <v>0</v>
      </c>
      <c r="Z121" s="234">
        <f t="shared" si="3"/>
        <v>0</v>
      </c>
      <c r="AA121" s="234"/>
    </row>
    <row r="122" spans="1:27" hidden="1" x14ac:dyDescent="0.25">
      <c r="B122" s="109"/>
      <c r="E122" s="71"/>
      <c r="F122" s="80"/>
      <c r="G122" s="71"/>
      <c r="H122" s="72"/>
      <c r="J122" s="48"/>
      <c r="K122" s="245"/>
      <c r="L122" s="245"/>
      <c r="M122" s="245"/>
      <c r="N122" s="245"/>
      <c r="O122" s="245"/>
      <c r="P122" s="245"/>
      <c r="Q122" s="245"/>
      <c r="R122" s="245"/>
      <c r="S122" s="245"/>
      <c r="T122" s="254"/>
      <c r="U122" s="261"/>
      <c r="V122" s="225">
        <f t="shared" si="0"/>
        <v>0</v>
      </c>
      <c r="W122" s="231">
        <f t="shared" si="1"/>
        <v>0</v>
      </c>
      <c r="X122" s="225">
        <f t="shared" si="5"/>
        <v>0</v>
      </c>
      <c r="Y122" s="225">
        <f t="shared" si="2"/>
        <v>0</v>
      </c>
      <c r="Z122" s="234">
        <f t="shared" si="3"/>
        <v>0</v>
      </c>
      <c r="AA122" s="234"/>
    </row>
    <row r="123" spans="1:27" ht="13.8" thickBot="1" x14ac:dyDescent="0.3">
      <c r="A123" s="99"/>
      <c r="B123" s="146" t="s">
        <v>108</v>
      </c>
      <c r="E123" s="122"/>
      <c r="F123" s="118"/>
      <c r="G123" s="122"/>
      <c r="H123" s="123"/>
      <c r="I123" s="50">
        <f>'DSPR Jordan'!G187+'DSPR Lebanon'!G176+'FCA Jordan'!G189+'FCA Syria'!G184+'IOCC Jordan'!G183+'IOCC Lebanon'!G179+'IOCC Syria'!G176+'LWF Jordan'!G191+'MECC Lebanon'!G176+'MECC Syria'!G179</f>
        <v>308053.74599999998</v>
      </c>
      <c r="J123" s="50">
        <f>I123*C4</f>
        <v>308053.74599999998</v>
      </c>
      <c r="K123" s="244"/>
      <c r="L123" s="244"/>
      <c r="M123" s="244"/>
      <c r="N123" s="244"/>
      <c r="O123" s="244"/>
      <c r="P123" s="244"/>
      <c r="Q123" s="244"/>
      <c r="R123" s="244"/>
      <c r="S123" s="244"/>
      <c r="T123" s="253"/>
      <c r="U123" s="263"/>
      <c r="V123" s="225">
        <f t="shared" si="0"/>
        <v>-308053.74599999998</v>
      </c>
      <c r="W123" s="231">
        <f t="shared" si="1"/>
        <v>-1</v>
      </c>
      <c r="X123" s="225">
        <f>U123*C4</f>
        <v>0</v>
      </c>
      <c r="Y123" s="225">
        <f t="shared" si="2"/>
        <v>-308053.74599999998</v>
      </c>
      <c r="Z123" s="234">
        <f t="shared" si="3"/>
        <v>-1</v>
      </c>
      <c r="AA123" s="234"/>
    </row>
    <row r="124" spans="1:27" ht="13.8" thickTop="1" x14ac:dyDescent="0.25">
      <c r="B124" s="77"/>
      <c r="E124" s="161"/>
      <c r="F124" s="162"/>
      <c r="G124" s="161"/>
      <c r="H124" s="74"/>
      <c r="I124" s="48"/>
      <c r="J124" s="1"/>
      <c r="K124" s="242"/>
      <c r="L124" s="242"/>
      <c r="M124" s="242"/>
      <c r="N124" s="242"/>
      <c r="O124" s="242"/>
      <c r="P124" s="242"/>
      <c r="Q124" s="242"/>
      <c r="R124" s="242"/>
      <c r="S124" s="242"/>
      <c r="T124" s="251"/>
      <c r="U124" s="257"/>
      <c r="V124" s="225"/>
      <c r="W124" s="231"/>
      <c r="X124" s="225"/>
      <c r="Y124" s="225"/>
      <c r="Z124" s="234"/>
      <c r="AA124" s="234"/>
    </row>
    <row r="125" spans="1:27" x14ac:dyDescent="0.25">
      <c r="A125" s="125">
        <v>4</v>
      </c>
      <c r="B125" s="126" t="s">
        <v>107</v>
      </c>
      <c r="C125" s="127"/>
      <c r="D125" s="128"/>
      <c r="E125" s="129"/>
      <c r="F125" s="130"/>
      <c r="G125" s="129"/>
      <c r="H125" s="131"/>
      <c r="I125" s="131"/>
      <c r="J125" s="147"/>
      <c r="K125" s="241"/>
      <c r="L125" s="241"/>
      <c r="M125" s="241"/>
      <c r="N125" s="241"/>
      <c r="O125" s="241"/>
      <c r="P125" s="241"/>
      <c r="Q125" s="241"/>
      <c r="R125" s="241"/>
      <c r="S125" s="241"/>
      <c r="T125" s="252"/>
      <c r="U125" s="260"/>
      <c r="V125" s="230"/>
      <c r="W125" s="232"/>
      <c r="X125" s="230"/>
      <c r="Y125" s="230"/>
      <c r="Z125" s="235"/>
      <c r="AA125" s="235"/>
    </row>
    <row r="126" spans="1:27" hidden="1" x14ac:dyDescent="0.25">
      <c r="A126" s="77" t="s">
        <v>19</v>
      </c>
      <c r="B126" s="77"/>
      <c r="E126" s="161"/>
      <c r="F126" s="162"/>
      <c r="G126" s="161"/>
      <c r="H126" s="74"/>
      <c r="I126" s="48">
        <f>'DSPR Jordan'!F203+'DSPR Lebanon'!F192+'FCA Jordan'!F205+'FCA Syria'!F200+'IOCC Jordan'!F199</f>
        <v>18444</v>
      </c>
      <c r="J126" s="1">
        <f>'DSPR Jordan'!G203+'DSPR Lebanon'!G192+'FCA Jordan'!G205+'FCA Syria'!G200+'IOCC Jordan'!G199</f>
        <v>25996.440000000002</v>
      </c>
      <c r="K126" s="242"/>
      <c r="L126" s="242"/>
      <c r="M126" s="242"/>
      <c r="N126" s="242"/>
      <c r="O126" s="242"/>
      <c r="P126" s="242"/>
      <c r="Q126" s="242"/>
      <c r="R126" s="242"/>
      <c r="S126" s="242"/>
      <c r="T126" s="251"/>
      <c r="U126" s="262"/>
      <c r="V126" s="225">
        <f t="shared" si="0"/>
        <v>-18444</v>
      </c>
      <c r="W126" s="231">
        <f t="shared" si="1"/>
        <v>-1</v>
      </c>
      <c r="X126" s="225">
        <f>U126*C4</f>
        <v>0</v>
      </c>
      <c r="Y126" s="225">
        <f t="shared" si="2"/>
        <v>-25996.440000000002</v>
      </c>
      <c r="Z126" s="234">
        <f t="shared" si="3"/>
        <v>-1</v>
      </c>
      <c r="AA126" s="234"/>
    </row>
    <row r="127" spans="1:27" hidden="1" x14ac:dyDescent="0.25">
      <c r="A127" s="77" t="s">
        <v>142</v>
      </c>
      <c r="B127" s="163" t="s">
        <v>44</v>
      </c>
      <c r="E127" s="134"/>
      <c r="F127" s="112"/>
      <c r="G127" s="134"/>
      <c r="H127" s="108"/>
      <c r="I127" s="48">
        <f>G127*H127</f>
        <v>0</v>
      </c>
      <c r="J127" s="1">
        <f>I127*C4</f>
        <v>0</v>
      </c>
      <c r="K127" s="242"/>
      <c r="L127" s="242"/>
      <c r="M127" s="242"/>
      <c r="N127" s="242"/>
      <c r="O127" s="242"/>
      <c r="P127" s="242"/>
      <c r="Q127" s="242"/>
      <c r="R127" s="242"/>
      <c r="S127" s="242"/>
      <c r="T127" s="251"/>
      <c r="U127" s="262"/>
      <c r="V127" s="225">
        <f t="shared" si="0"/>
        <v>0</v>
      </c>
      <c r="W127" s="231">
        <f t="shared" si="1"/>
        <v>0</v>
      </c>
      <c r="X127" s="225">
        <f t="shared" si="5"/>
        <v>0</v>
      </c>
      <c r="Y127" s="225">
        <f t="shared" si="2"/>
        <v>0</v>
      </c>
      <c r="Z127" s="234">
        <f t="shared" si="3"/>
        <v>0</v>
      </c>
      <c r="AA127" s="234"/>
    </row>
    <row r="128" spans="1:27" hidden="1" x14ac:dyDescent="0.25">
      <c r="A128" s="77" t="s">
        <v>143</v>
      </c>
      <c r="B128" s="163" t="s">
        <v>45</v>
      </c>
      <c r="E128" s="134"/>
      <c r="F128" s="112"/>
      <c r="G128" s="134"/>
      <c r="H128" s="108"/>
      <c r="I128" s="48">
        <f>G128*H128</f>
        <v>0</v>
      </c>
      <c r="J128" s="1">
        <f>I128*C4</f>
        <v>0</v>
      </c>
      <c r="K128" s="242"/>
      <c r="L128" s="242"/>
      <c r="M128" s="242"/>
      <c r="N128" s="242"/>
      <c r="O128" s="242"/>
      <c r="P128" s="242"/>
      <c r="Q128" s="242"/>
      <c r="R128" s="242"/>
      <c r="S128" s="242"/>
      <c r="T128" s="251"/>
      <c r="U128" s="262"/>
      <c r="V128" s="225">
        <f t="shared" si="0"/>
        <v>0</v>
      </c>
      <c r="W128" s="231">
        <f t="shared" si="1"/>
        <v>0</v>
      </c>
      <c r="X128" s="225">
        <f t="shared" si="5"/>
        <v>0</v>
      </c>
      <c r="Y128" s="225">
        <f t="shared" si="2"/>
        <v>0</v>
      </c>
      <c r="Z128" s="234">
        <f t="shared" si="3"/>
        <v>0</v>
      </c>
      <c r="AA128" s="234"/>
    </row>
    <row r="129" spans="1:27" hidden="1" x14ac:dyDescent="0.25">
      <c r="A129" s="77" t="s">
        <v>7</v>
      </c>
      <c r="B129" s="137"/>
      <c r="E129" s="135"/>
      <c r="F129" s="4"/>
      <c r="G129" s="135"/>
      <c r="H129" s="3"/>
      <c r="I129" s="48">
        <f>'DSPR Jordan'!F204+'DSPR Lebanon'!F193+'FCA Jordan'!F206+'FCA Syria'!F201+'IOCC Jordan'!F200</f>
        <v>13000</v>
      </c>
      <c r="J129" s="1">
        <f>'DSPR Jordan'!G204+'DSPR Lebanon'!G193+'FCA Jordan'!G206+'FCA Syria'!G201+'IOCC Jordan'!G200</f>
        <v>18330</v>
      </c>
      <c r="K129" s="242"/>
      <c r="L129" s="242"/>
      <c r="M129" s="242"/>
      <c r="N129" s="242"/>
      <c r="O129" s="242"/>
      <c r="P129" s="242"/>
      <c r="Q129" s="242"/>
      <c r="R129" s="242"/>
      <c r="S129" s="242"/>
      <c r="T129" s="251"/>
      <c r="U129" s="262"/>
      <c r="V129" s="225">
        <f t="shared" si="0"/>
        <v>-13000</v>
      </c>
      <c r="W129" s="231">
        <f t="shared" si="1"/>
        <v>-1</v>
      </c>
      <c r="X129" s="225">
        <f>U129*C4</f>
        <v>0</v>
      </c>
      <c r="Y129" s="225">
        <f t="shared" si="2"/>
        <v>-18330</v>
      </c>
      <c r="Z129" s="234">
        <f t="shared" si="3"/>
        <v>-1</v>
      </c>
      <c r="AA129" s="234"/>
    </row>
    <row r="130" spans="1:27" hidden="1" x14ac:dyDescent="0.25">
      <c r="A130" s="77" t="s">
        <v>144</v>
      </c>
      <c r="B130" s="163" t="s">
        <v>46</v>
      </c>
      <c r="E130" s="160"/>
      <c r="F130" s="158"/>
      <c r="G130" s="160"/>
      <c r="H130" s="164"/>
      <c r="I130" s="48">
        <f>G130*H130</f>
        <v>0</v>
      </c>
      <c r="J130" s="49">
        <f>I130*C4</f>
        <v>0</v>
      </c>
      <c r="K130" s="242"/>
      <c r="L130" s="242"/>
      <c r="M130" s="242"/>
      <c r="N130" s="242"/>
      <c r="O130" s="242"/>
      <c r="P130" s="242"/>
      <c r="Q130" s="242"/>
      <c r="R130" s="242"/>
      <c r="S130" s="242"/>
      <c r="T130" s="251"/>
      <c r="U130" s="262"/>
      <c r="V130" s="225">
        <f t="shared" si="0"/>
        <v>0</v>
      </c>
      <c r="W130" s="231">
        <f t="shared" si="1"/>
        <v>0</v>
      </c>
      <c r="X130" s="225">
        <f t="shared" si="5"/>
        <v>0</v>
      </c>
      <c r="Y130" s="225">
        <f t="shared" si="2"/>
        <v>0</v>
      </c>
      <c r="Z130" s="234">
        <f t="shared" si="3"/>
        <v>0</v>
      </c>
      <c r="AA130" s="234"/>
    </row>
    <row r="131" spans="1:27" hidden="1" x14ac:dyDescent="0.25">
      <c r="A131" s="77" t="s">
        <v>145</v>
      </c>
      <c r="B131" s="137" t="s">
        <v>47</v>
      </c>
      <c r="E131" s="160"/>
      <c r="F131" s="158"/>
      <c r="G131" s="160"/>
      <c r="H131" s="164"/>
      <c r="I131" s="48">
        <f>G131*H131</f>
        <v>0</v>
      </c>
      <c r="J131" s="49">
        <f>I131*C4</f>
        <v>0</v>
      </c>
      <c r="K131" s="242"/>
      <c r="L131" s="242"/>
      <c r="M131" s="242"/>
      <c r="N131" s="242"/>
      <c r="O131" s="242"/>
      <c r="P131" s="242"/>
      <c r="Q131" s="242"/>
      <c r="R131" s="242"/>
      <c r="S131" s="242"/>
      <c r="T131" s="251"/>
      <c r="U131" s="262"/>
      <c r="V131" s="225">
        <f t="shared" si="0"/>
        <v>0</v>
      </c>
      <c r="W131" s="231">
        <f t="shared" si="1"/>
        <v>0</v>
      </c>
      <c r="X131" s="225">
        <f t="shared" si="5"/>
        <v>0</v>
      </c>
      <c r="Y131" s="225">
        <f t="shared" si="2"/>
        <v>0</v>
      </c>
      <c r="Z131" s="234">
        <f t="shared" si="3"/>
        <v>0</v>
      </c>
      <c r="AA131" s="234"/>
    </row>
    <row r="132" spans="1:27" hidden="1" x14ac:dyDescent="0.25">
      <c r="A132" s="77" t="s">
        <v>8</v>
      </c>
      <c r="B132" s="137"/>
      <c r="E132" s="119"/>
      <c r="F132" s="165"/>
      <c r="G132" s="119"/>
      <c r="H132" s="120"/>
      <c r="I132" s="48">
        <f>'DSPR Jordan'!F205+'DSPR Lebanon'!F194+'FCA Jordan'!F207+'FCA Syria'!F202+'IOCC Jordan'!F201</f>
        <v>3757869.6</v>
      </c>
      <c r="J132" s="1">
        <f>'DSPR Jordan'!G205+'DSPR Lebanon'!G194+'FCA Jordan'!G207+'FCA Syria'!G202+'IOCC Jordan'!G201</f>
        <v>13596.135999999999</v>
      </c>
      <c r="K132" s="242"/>
      <c r="L132" s="242"/>
      <c r="M132" s="242"/>
      <c r="N132" s="242"/>
      <c r="O132" s="242"/>
      <c r="P132" s="242"/>
      <c r="Q132" s="242"/>
      <c r="R132" s="242"/>
      <c r="S132" s="242"/>
      <c r="T132" s="251"/>
      <c r="U132" s="262"/>
      <c r="V132" s="225">
        <f t="shared" si="0"/>
        <v>-3757869.6</v>
      </c>
      <c r="W132" s="231">
        <f t="shared" si="1"/>
        <v>-1</v>
      </c>
      <c r="X132" s="225">
        <f>U132*C4</f>
        <v>0</v>
      </c>
      <c r="Y132" s="225">
        <f t="shared" si="2"/>
        <v>-13596.135999999999</v>
      </c>
      <c r="Z132" s="234">
        <f t="shared" si="3"/>
        <v>-1</v>
      </c>
      <c r="AA132" s="234"/>
    </row>
    <row r="133" spans="1:27" hidden="1" x14ac:dyDescent="0.25">
      <c r="A133" s="77" t="s">
        <v>150</v>
      </c>
      <c r="B133" s="140" t="s">
        <v>181</v>
      </c>
      <c r="E133" s="160"/>
      <c r="F133" s="158"/>
      <c r="G133" s="160"/>
      <c r="H133" s="164"/>
      <c r="I133" s="48">
        <f>G133*H133</f>
        <v>0</v>
      </c>
      <c r="J133" s="1">
        <f>I133*C4</f>
        <v>0</v>
      </c>
      <c r="K133" s="242"/>
      <c r="L133" s="242"/>
      <c r="M133" s="242"/>
      <c r="N133" s="242"/>
      <c r="O133" s="242"/>
      <c r="P133" s="242"/>
      <c r="Q133" s="242"/>
      <c r="R133" s="242"/>
      <c r="S133" s="242"/>
      <c r="T133" s="251"/>
      <c r="U133" s="257"/>
      <c r="V133" s="225">
        <f t="shared" si="0"/>
        <v>0</v>
      </c>
      <c r="W133" s="231">
        <f t="shared" si="1"/>
        <v>0</v>
      </c>
      <c r="X133" s="225">
        <f t="shared" si="5"/>
        <v>0</v>
      </c>
      <c r="Y133" s="225">
        <f t="shared" si="2"/>
        <v>0</v>
      </c>
      <c r="Z133" s="234">
        <f t="shared" si="3"/>
        <v>0</v>
      </c>
      <c r="AA133" s="234"/>
    </row>
    <row r="134" spans="1:27" hidden="1" x14ac:dyDescent="0.25">
      <c r="A134" s="77" t="s">
        <v>146</v>
      </c>
      <c r="B134" s="149" t="s">
        <v>50</v>
      </c>
      <c r="E134" s="160"/>
      <c r="F134" s="158"/>
      <c r="G134" s="160"/>
      <c r="H134" s="164"/>
      <c r="I134" s="48">
        <f>G134*H134</f>
        <v>0</v>
      </c>
      <c r="J134" s="1">
        <f>I134*C4</f>
        <v>0</v>
      </c>
      <c r="K134" s="242"/>
      <c r="L134" s="242"/>
      <c r="M134" s="242"/>
      <c r="N134" s="242"/>
      <c r="O134" s="242"/>
      <c r="P134" s="242"/>
      <c r="Q134" s="242"/>
      <c r="R134" s="242"/>
      <c r="S134" s="242"/>
      <c r="T134" s="251"/>
      <c r="U134" s="257"/>
      <c r="V134" s="225">
        <f t="shared" si="0"/>
        <v>0</v>
      </c>
      <c r="W134" s="231">
        <f t="shared" si="1"/>
        <v>0</v>
      </c>
      <c r="X134" s="225">
        <f t="shared" si="5"/>
        <v>0</v>
      </c>
      <c r="Y134" s="225">
        <f t="shared" si="2"/>
        <v>0</v>
      </c>
      <c r="Z134" s="234">
        <f t="shared" si="3"/>
        <v>0</v>
      </c>
      <c r="AA134" s="234"/>
    </row>
    <row r="135" spans="1:27" hidden="1" x14ac:dyDescent="0.25">
      <c r="A135" s="77" t="s">
        <v>147</v>
      </c>
      <c r="B135" s="149" t="s">
        <v>51</v>
      </c>
      <c r="E135" s="160"/>
      <c r="F135" s="158"/>
      <c r="G135" s="160"/>
      <c r="H135" s="166"/>
      <c r="I135" s="48">
        <f>G135*H135</f>
        <v>0</v>
      </c>
      <c r="J135" s="1">
        <f>I135*C4</f>
        <v>0</v>
      </c>
      <c r="K135" s="242"/>
      <c r="L135" s="242"/>
      <c r="M135" s="242"/>
      <c r="N135" s="242"/>
      <c r="O135" s="242"/>
      <c r="P135" s="242"/>
      <c r="Q135" s="242"/>
      <c r="R135" s="242"/>
      <c r="S135" s="242"/>
      <c r="T135" s="251"/>
      <c r="U135" s="257"/>
      <c r="V135" s="225">
        <f t="shared" si="0"/>
        <v>0</v>
      </c>
      <c r="W135" s="231">
        <f t="shared" si="1"/>
        <v>0</v>
      </c>
      <c r="X135" s="225">
        <f t="shared" si="5"/>
        <v>0</v>
      </c>
      <c r="Y135" s="225">
        <f t="shared" si="2"/>
        <v>0</v>
      </c>
      <c r="Z135" s="234">
        <f t="shared" si="3"/>
        <v>0</v>
      </c>
      <c r="AA135" s="234"/>
    </row>
    <row r="136" spans="1:27" hidden="1" x14ac:dyDescent="0.25">
      <c r="A136" s="77" t="s">
        <v>148</v>
      </c>
      <c r="B136" s="149" t="s">
        <v>125</v>
      </c>
      <c r="E136" s="160"/>
      <c r="F136" s="158"/>
      <c r="G136" s="160"/>
      <c r="H136" s="167"/>
      <c r="I136" s="48">
        <f>G136*H136</f>
        <v>0</v>
      </c>
      <c r="J136" s="1">
        <f>I136*C4</f>
        <v>0</v>
      </c>
      <c r="K136" s="242"/>
      <c r="L136" s="242"/>
      <c r="M136" s="242"/>
      <c r="N136" s="242"/>
      <c r="O136" s="242"/>
      <c r="P136" s="242"/>
      <c r="Q136" s="242"/>
      <c r="R136" s="242"/>
      <c r="S136" s="242"/>
      <c r="T136" s="251"/>
      <c r="U136" s="257"/>
      <c r="V136" s="225">
        <f t="shared" si="0"/>
        <v>0</v>
      </c>
      <c r="W136" s="231">
        <f t="shared" si="1"/>
        <v>0</v>
      </c>
      <c r="X136" s="225">
        <f t="shared" si="5"/>
        <v>0</v>
      </c>
      <c r="Y136" s="225">
        <f t="shared" si="2"/>
        <v>0</v>
      </c>
      <c r="Z136" s="234">
        <f t="shared" si="3"/>
        <v>0</v>
      </c>
      <c r="AA136" s="234"/>
    </row>
    <row r="137" spans="1:27" hidden="1" x14ac:dyDescent="0.25">
      <c r="A137" s="77" t="s">
        <v>149</v>
      </c>
      <c r="B137" s="149" t="s">
        <v>126</v>
      </c>
      <c r="E137" s="160"/>
      <c r="F137" s="158"/>
      <c r="G137" s="160"/>
      <c r="H137" s="167"/>
      <c r="I137" s="48">
        <f>G137*H137</f>
        <v>0</v>
      </c>
      <c r="J137" s="1">
        <f>I137*C4</f>
        <v>0</v>
      </c>
      <c r="K137" s="242"/>
      <c r="L137" s="242"/>
      <c r="M137" s="242"/>
      <c r="N137" s="242"/>
      <c r="O137" s="242"/>
      <c r="P137" s="242"/>
      <c r="Q137" s="242"/>
      <c r="R137" s="242"/>
      <c r="S137" s="242"/>
      <c r="T137" s="251"/>
      <c r="U137" s="257"/>
      <c r="V137" s="225">
        <f t="shared" si="0"/>
        <v>0</v>
      </c>
      <c r="W137" s="231">
        <f t="shared" si="1"/>
        <v>0</v>
      </c>
      <c r="X137" s="225" t="e">
        <f t="shared" si="5"/>
        <v>#VALUE!</v>
      </c>
      <c r="Y137" s="225" t="e">
        <f t="shared" si="2"/>
        <v>#VALUE!</v>
      </c>
      <c r="Z137" s="234">
        <f t="shared" si="3"/>
        <v>0</v>
      </c>
      <c r="AA137" s="234"/>
    </row>
    <row r="138" spans="1:27" hidden="1" x14ac:dyDescent="0.25">
      <c r="E138" s="49"/>
      <c r="F138" s="49"/>
      <c r="G138" s="49"/>
      <c r="H138" s="49"/>
      <c r="I138" s="168"/>
      <c r="K138" s="242"/>
      <c r="L138" s="242"/>
      <c r="M138" s="242"/>
      <c r="N138" s="242"/>
      <c r="O138" s="242"/>
      <c r="P138" s="242"/>
      <c r="Q138" s="242"/>
      <c r="R138" s="242"/>
      <c r="S138" s="242"/>
      <c r="T138" s="251"/>
      <c r="U138" s="257"/>
      <c r="V138" s="225"/>
      <c r="W138" s="231"/>
      <c r="X138" s="225"/>
      <c r="Y138" s="225"/>
      <c r="Z138" s="234"/>
      <c r="AA138" s="234"/>
    </row>
    <row r="139" spans="1:27" ht="13.8" thickBot="1" x14ac:dyDescent="0.3">
      <c r="A139" s="99"/>
      <c r="B139" s="146" t="s">
        <v>109</v>
      </c>
      <c r="E139" s="122"/>
      <c r="F139" s="118"/>
      <c r="G139" s="122"/>
      <c r="H139" s="123"/>
      <c r="I139" s="50">
        <f>'DSPR Jordan'!G206+'DSPR Lebanon'!G195+'FCA Jordan'!G208+'FCA Syria'!G203+'IOCC Jordan'!G202+'IOCC Lebanon'!G198+'IOCC Syria'!G195+'LWF Jordan'!G210+'MECC Lebanon'!G195+'MECC Syria'!G198</f>
        <v>302900.52600000001</v>
      </c>
      <c r="J139" s="50">
        <f>I139*C4</f>
        <v>302900.52600000001</v>
      </c>
      <c r="K139" s="244"/>
      <c r="L139" s="244"/>
      <c r="M139" s="244"/>
      <c r="N139" s="244"/>
      <c r="O139" s="244"/>
      <c r="P139" s="244"/>
      <c r="Q139" s="244"/>
      <c r="R139" s="244"/>
      <c r="S139" s="244"/>
      <c r="T139" s="253"/>
      <c r="U139" s="263"/>
      <c r="V139" s="225">
        <f t="shared" si="0"/>
        <v>-302900.52600000001</v>
      </c>
      <c r="W139" s="231">
        <f t="shared" si="1"/>
        <v>-1</v>
      </c>
      <c r="X139" s="225">
        <f>U139*C4</f>
        <v>0</v>
      </c>
      <c r="Y139" s="225">
        <f t="shared" si="2"/>
        <v>-302900.52600000001</v>
      </c>
      <c r="Z139" s="234">
        <f t="shared" si="3"/>
        <v>-1</v>
      </c>
      <c r="AA139" s="234"/>
    </row>
    <row r="140" spans="1:27" ht="13.8" thickTop="1" x14ac:dyDescent="0.25">
      <c r="A140" s="99"/>
      <c r="B140" s="146"/>
      <c r="E140" s="122"/>
      <c r="F140" s="118"/>
      <c r="G140" s="122"/>
      <c r="H140" s="123"/>
      <c r="I140" s="169"/>
      <c r="J140" s="169"/>
      <c r="K140" s="244"/>
      <c r="L140" s="244"/>
      <c r="M140" s="244"/>
      <c r="N140" s="244"/>
      <c r="O140" s="244"/>
      <c r="P140" s="244"/>
      <c r="Q140" s="244"/>
      <c r="R140" s="244"/>
      <c r="S140" s="244"/>
      <c r="T140" s="253"/>
      <c r="U140" s="259"/>
      <c r="V140" s="225"/>
      <c r="W140" s="231"/>
      <c r="X140" s="225"/>
      <c r="Y140" s="225"/>
      <c r="Z140" s="234"/>
      <c r="AA140" s="234"/>
    </row>
    <row r="141" spans="1:27" x14ac:dyDescent="0.25">
      <c r="A141" s="125">
        <v>5</v>
      </c>
      <c r="B141" s="126" t="s">
        <v>111</v>
      </c>
      <c r="C141" s="127"/>
      <c r="D141" s="128"/>
      <c r="E141" s="129"/>
      <c r="F141" s="130"/>
      <c r="G141" s="129"/>
      <c r="H141" s="131"/>
      <c r="I141" s="131"/>
      <c r="J141" s="147"/>
      <c r="K141" s="241"/>
      <c r="L141" s="241"/>
      <c r="M141" s="241"/>
      <c r="N141" s="241"/>
      <c r="O141" s="241"/>
      <c r="P141" s="241"/>
      <c r="Q141" s="241"/>
      <c r="R141" s="241"/>
      <c r="S141" s="241"/>
      <c r="T141" s="252"/>
      <c r="U141" s="260"/>
      <c r="V141" s="230"/>
      <c r="W141" s="232"/>
      <c r="X141" s="230"/>
      <c r="Y141" s="230"/>
      <c r="Z141" s="235"/>
      <c r="AA141" s="235"/>
    </row>
    <row r="142" spans="1:27" hidden="1" x14ac:dyDescent="0.25">
      <c r="A142" s="77" t="s">
        <v>151</v>
      </c>
      <c r="B142" s="163" t="s">
        <v>11</v>
      </c>
      <c r="E142" s="160"/>
      <c r="F142" s="158"/>
      <c r="G142" s="160"/>
      <c r="H142" s="164"/>
      <c r="I142" s="48">
        <f>G142*H142</f>
        <v>0</v>
      </c>
      <c r="J142" s="49">
        <f>I142*C4</f>
        <v>0</v>
      </c>
      <c r="K142" s="242"/>
      <c r="L142" s="242"/>
      <c r="M142" s="242"/>
      <c r="N142" s="242"/>
      <c r="O142" s="242"/>
      <c r="P142" s="242"/>
      <c r="Q142" s="242"/>
      <c r="R142" s="242"/>
      <c r="S142" s="242"/>
      <c r="T142" s="251"/>
      <c r="U142" s="257"/>
      <c r="V142" s="225">
        <f t="shared" si="0"/>
        <v>0</v>
      </c>
      <c r="W142" s="231">
        <f t="shared" si="1"/>
        <v>0</v>
      </c>
      <c r="X142" s="225">
        <f t="shared" si="5"/>
        <v>0</v>
      </c>
      <c r="Y142" s="225">
        <f t="shared" si="2"/>
        <v>0</v>
      </c>
      <c r="Z142" s="234">
        <f t="shared" si="3"/>
        <v>0</v>
      </c>
      <c r="AA142" s="234"/>
    </row>
    <row r="143" spans="1:27" hidden="1" x14ac:dyDescent="0.25">
      <c r="A143" s="77" t="s">
        <v>152</v>
      </c>
      <c r="B143" s="163" t="s">
        <v>12</v>
      </c>
      <c r="E143" s="160"/>
      <c r="F143" s="158"/>
      <c r="G143" s="160"/>
      <c r="H143" s="164"/>
      <c r="I143" s="48">
        <f>G143*H143</f>
        <v>0</v>
      </c>
      <c r="J143" s="49">
        <f>I143*C4</f>
        <v>0</v>
      </c>
      <c r="K143" s="242"/>
      <c r="L143" s="242"/>
      <c r="M143" s="242"/>
      <c r="N143" s="242"/>
      <c r="O143" s="242"/>
      <c r="P143" s="242"/>
      <c r="Q143" s="242"/>
      <c r="R143" s="242"/>
      <c r="S143" s="242"/>
      <c r="T143" s="251"/>
      <c r="U143" s="257"/>
      <c r="V143" s="225">
        <f t="shared" si="0"/>
        <v>0</v>
      </c>
      <c r="W143" s="231">
        <f t="shared" si="1"/>
        <v>0</v>
      </c>
      <c r="X143" s="225">
        <f t="shared" si="5"/>
        <v>0</v>
      </c>
      <c r="Y143" s="225">
        <f t="shared" si="2"/>
        <v>0</v>
      </c>
      <c r="Z143" s="234">
        <f t="shared" si="3"/>
        <v>0</v>
      </c>
      <c r="AA143" s="234"/>
    </row>
    <row r="144" spans="1:27" hidden="1" x14ac:dyDescent="0.25">
      <c r="A144" s="77" t="s">
        <v>153</v>
      </c>
      <c r="B144" s="163" t="s">
        <v>13</v>
      </c>
      <c r="E144" s="160"/>
      <c r="F144" s="158"/>
      <c r="G144" s="160"/>
      <c r="H144" s="164"/>
      <c r="I144" s="48">
        <f>G144*H144</f>
        <v>0</v>
      </c>
      <c r="J144" s="49">
        <f>I144*C4</f>
        <v>0</v>
      </c>
      <c r="K144" s="242"/>
      <c r="L144" s="242"/>
      <c r="M144" s="242"/>
      <c r="N144" s="242"/>
      <c r="O144" s="242"/>
      <c r="P144" s="242"/>
      <c r="Q144" s="242"/>
      <c r="R144" s="242"/>
      <c r="S144" s="242"/>
      <c r="T144" s="251"/>
      <c r="U144" s="257"/>
      <c r="V144" s="225">
        <f t="shared" si="0"/>
        <v>0</v>
      </c>
      <c r="W144" s="231">
        <f t="shared" si="1"/>
        <v>0</v>
      </c>
      <c r="X144" s="225">
        <f t="shared" si="5"/>
        <v>0</v>
      </c>
      <c r="Y144" s="225">
        <f t="shared" si="2"/>
        <v>0</v>
      </c>
      <c r="Z144" s="234">
        <f t="shared" si="3"/>
        <v>0</v>
      </c>
      <c r="AA144" s="234"/>
    </row>
    <row r="145" spans="1:27" hidden="1" x14ac:dyDescent="0.25">
      <c r="A145" s="77" t="s">
        <v>154</v>
      </c>
      <c r="B145" s="163" t="s">
        <v>14</v>
      </c>
      <c r="E145" s="160"/>
      <c r="F145" s="158"/>
      <c r="G145" s="160"/>
      <c r="H145" s="164"/>
      <c r="I145" s="48">
        <f>G145*H145</f>
        <v>0</v>
      </c>
      <c r="J145" s="49">
        <f>I145*C4</f>
        <v>0</v>
      </c>
      <c r="K145" s="242"/>
      <c r="L145" s="242"/>
      <c r="M145" s="242"/>
      <c r="N145" s="242"/>
      <c r="O145" s="242"/>
      <c r="P145" s="242"/>
      <c r="Q145" s="242"/>
      <c r="R145" s="242"/>
      <c r="S145" s="242"/>
      <c r="T145" s="251"/>
      <c r="U145" s="257"/>
      <c r="V145" s="225">
        <f t="shared" si="0"/>
        <v>0</v>
      </c>
      <c r="W145" s="231">
        <f t="shared" si="1"/>
        <v>0</v>
      </c>
      <c r="X145" s="225">
        <f t="shared" si="5"/>
        <v>0</v>
      </c>
      <c r="Y145" s="225">
        <f t="shared" si="2"/>
        <v>0</v>
      </c>
      <c r="Z145" s="234">
        <f t="shared" si="3"/>
        <v>0</v>
      </c>
      <c r="AA145" s="234"/>
    </row>
    <row r="146" spans="1:27" ht="39.6" hidden="1" x14ac:dyDescent="0.25">
      <c r="A146" s="77" t="s">
        <v>155</v>
      </c>
      <c r="B146" s="163" t="s">
        <v>56</v>
      </c>
      <c r="E146" s="160"/>
      <c r="F146" s="158"/>
      <c r="G146" s="160"/>
      <c r="H146" s="164"/>
      <c r="I146" s="48">
        <f>G146*H146</f>
        <v>0</v>
      </c>
      <c r="J146" s="49">
        <f>I146*C4</f>
        <v>0</v>
      </c>
      <c r="K146" s="242"/>
      <c r="L146" s="242"/>
      <c r="M146" s="242"/>
      <c r="N146" s="242"/>
      <c r="O146" s="242"/>
      <c r="P146" s="242"/>
      <c r="Q146" s="242"/>
      <c r="R146" s="242"/>
      <c r="S146" s="242"/>
      <c r="T146" s="251"/>
      <c r="U146" s="257"/>
      <c r="V146" s="225">
        <f t="shared" ref="V146:V193" si="8">U146-I146</f>
        <v>0</v>
      </c>
      <c r="W146" s="231">
        <f t="shared" ref="W146:W193" si="9">IF(I146=0,0,V146/I146)</f>
        <v>0</v>
      </c>
      <c r="X146" s="225">
        <f>U146*C69</f>
        <v>0</v>
      </c>
      <c r="Y146" s="225">
        <f t="shared" ref="Y146:Y193" si="10">X146-J146</f>
        <v>0</v>
      </c>
      <c r="Z146" s="234">
        <f t="shared" ref="Z146:Z193" si="11">IF(J146=0,0,Y146/J146)</f>
        <v>0</v>
      </c>
      <c r="AA146" s="234"/>
    </row>
    <row r="147" spans="1:27" hidden="1" x14ac:dyDescent="0.25">
      <c r="B147" s="163"/>
      <c r="F147" s="71"/>
      <c r="I147" s="48"/>
      <c r="K147" s="242"/>
      <c r="L147" s="242"/>
      <c r="M147" s="242"/>
      <c r="N147" s="242"/>
      <c r="O147" s="242"/>
      <c r="P147" s="242"/>
      <c r="Q147" s="242"/>
      <c r="R147" s="242"/>
      <c r="S147" s="242"/>
      <c r="T147" s="251"/>
      <c r="U147" s="257"/>
      <c r="V147" s="225">
        <f t="shared" si="8"/>
        <v>0</v>
      </c>
      <c r="W147" s="231">
        <f t="shared" si="9"/>
        <v>0</v>
      </c>
      <c r="X147" s="225">
        <f>U147*C70</f>
        <v>0</v>
      </c>
      <c r="Y147" s="225">
        <f t="shared" si="10"/>
        <v>0</v>
      </c>
      <c r="Z147" s="234">
        <f t="shared" si="11"/>
        <v>0</v>
      </c>
      <c r="AA147" s="234"/>
    </row>
    <row r="148" spans="1:27" ht="13.8" thickBot="1" x14ac:dyDescent="0.3">
      <c r="A148" s="99"/>
      <c r="B148" s="146" t="s">
        <v>112</v>
      </c>
      <c r="E148" s="122"/>
      <c r="F148" s="118"/>
      <c r="G148" s="122"/>
      <c r="H148" s="123"/>
      <c r="I148" s="50">
        <f>'DSPR Jordan'!G215+'DSPR Lebanon'!G204+'FCA Jordan'!G219+'FCA Syria'!G212+'IOCC Jordan'!G211+'IOCC Lebanon'!G207+'IOCC Syria'!G204+'LWF Jordan'!G219+'MECC Lebanon'!G204+'MECC Syria'!G207</f>
        <v>77818.292883333328</v>
      </c>
      <c r="J148" s="50">
        <f>I148*C4</f>
        <v>77818.292883333328</v>
      </c>
      <c r="K148" s="244"/>
      <c r="L148" s="244"/>
      <c r="M148" s="244"/>
      <c r="N148" s="244"/>
      <c r="O148" s="244"/>
      <c r="P148" s="244"/>
      <c r="Q148" s="244"/>
      <c r="R148" s="244"/>
      <c r="S148" s="244"/>
      <c r="T148" s="253"/>
      <c r="U148" s="263"/>
      <c r="V148" s="225">
        <f t="shared" si="8"/>
        <v>-77818.292883333328</v>
      </c>
      <c r="W148" s="231">
        <f t="shared" si="9"/>
        <v>-1</v>
      </c>
      <c r="X148" s="225">
        <f>U148*C4</f>
        <v>0</v>
      </c>
      <c r="Y148" s="225">
        <f t="shared" si="10"/>
        <v>-77818.292883333328</v>
      </c>
      <c r="Z148" s="234">
        <f t="shared" si="11"/>
        <v>-1</v>
      </c>
      <c r="AA148" s="234"/>
    </row>
    <row r="149" spans="1:27" ht="13.8" thickTop="1" x14ac:dyDescent="0.25">
      <c r="B149" s="163"/>
      <c r="F149" s="71"/>
      <c r="I149" s="48"/>
      <c r="K149" s="242"/>
      <c r="L149" s="242"/>
      <c r="M149" s="242"/>
      <c r="N149" s="242"/>
      <c r="O149" s="242"/>
      <c r="P149" s="242"/>
      <c r="Q149" s="242"/>
      <c r="R149" s="242"/>
      <c r="S149" s="242"/>
      <c r="T149" s="251"/>
      <c r="U149" s="262"/>
      <c r="V149" s="225">
        <f t="shared" si="8"/>
        <v>0</v>
      </c>
      <c r="W149" s="231">
        <f t="shared" si="9"/>
        <v>0</v>
      </c>
      <c r="X149" s="225">
        <f>U149*C4</f>
        <v>0</v>
      </c>
      <c r="Y149" s="225">
        <f t="shared" si="10"/>
        <v>0</v>
      </c>
      <c r="Z149" s="234">
        <f t="shared" si="11"/>
        <v>0</v>
      </c>
      <c r="AA149" s="234"/>
    </row>
    <row r="150" spans="1:27" x14ac:dyDescent="0.25">
      <c r="A150" s="125">
        <v>6</v>
      </c>
      <c r="B150" s="126" t="s">
        <v>113</v>
      </c>
      <c r="C150" s="127"/>
      <c r="D150" s="128"/>
      <c r="E150" s="129"/>
      <c r="F150" s="130"/>
      <c r="G150" s="129"/>
      <c r="H150" s="131"/>
      <c r="I150" s="131"/>
      <c r="J150" s="147"/>
      <c r="K150" s="241"/>
      <c r="L150" s="241"/>
      <c r="M150" s="241"/>
      <c r="N150" s="241"/>
      <c r="O150" s="241"/>
      <c r="P150" s="241"/>
      <c r="Q150" s="241"/>
      <c r="R150" s="241"/>
      <c r="S150" s="241"/>
      <c r="T150" s="252"/>
      <c r="U150" s="260"/>
      <c r="V150" s="230"/>
      <c r="W150" s="232"/>
      <c r="X150" s="230"/>
      <c r="Y150" s="230"/>
      <c r="Z150" s="235"/>
      <c r="AA150" s="235"/>
    </row>
    <row r="151" spans="1:27" x14ac:dyDescent="0.25">
      <c r="A151" s="99" t="s">
        <v>114</v>
      </c>
      <c r="B151" s="99" t="s">
        <v>71</v>
      </c>
      <c r="E151" s="142"/>
      <c r="F151" s="2"/>
      <c r="G151" s="142"/>
      <c r="H151" s="143"/>
      <c r="I151" s="3"/>
      <c r="J151" s="53"/>
      <c r="K151" s="242"/>
      <c r="L151" s="242"/>
      <c r="M151" s="242"/>
      <c r="N151" s="242"/>
      <c r="O151" s="242"/>
      <c r="P151" s="242"/>
      <c r="Q151" s="242"/>
      <c r="R151" s="242"/>
      <c r="S151" s="242"/>
      <c r="T151" s="251"/>
      <c r="U151" s="256"/>
      <c r="V151" s="225"/>
      <c r="W151" s="231"/>
      <c r="X151" s="225"/>
      <c r="Y151" s="225"/>
      <c r="Z151" s="234"/>
      <c r="AA151" s="234"/>
    </row>
    <row r="152" spans="1:27" hidden="1" x14ac:dyDescent="0.25">
      <c r="A152" s="109" t="s">
        <v>115</v>
      </c>
      <c r="B152" s="170" t="s">
        <v>72</v>
      </c>
      <c r="E152" s="160"/>
      <c r="F152" s="158"/>
      <c r="G152" s="160"/>
      <c r="H152" s="164"/>
      <c r="I152" s="3">
        <f>G152*H152</f>
        <v>0</v>
      </c>
      <c r="J152" s="53">
        <f>I152*C4</f>
        <v>0</v>
      </c>
      <c r="K152" s="242"/>
      <c r="L152" s="242"/>
      <c r="M152" s="242"/>
      <c r="N152" s="242"/>
      <c r="O152" s="242"/>
      <c r="P152" s="242"/>
      <c r="Q152" s="242"/>
      <c r="R152" s="242"/>
      <c r="S152" s="242"/>
      <c r="T152" s="251"/>
      <c r="U152" s="256"/>
      <c r="V152" s="225">
        <f t="shared" si="8"/>
        <v>0</v>
      </c>
      <c r="W152" s="231">
        <f t="shared" si="9"/>
        <v>0</v>
      </c>
      <c r="X152" s="225">
        <f>U152*C75</f>
        <v>0</v>
      </c>
      <c r="Y152" s="225">
        <f t="shared" si="10"/>
        <v>0</v>
      </c>
      <c r="Z152" s="234">
        <f t="shared" si="11"/>
        <v>0</v>
      </c>
      <c r="AA152" s="234"/>
    </row>
    <row r="153" spans="1:27" hidden="1" x14ac:dyDescent="0.25">
      <c r="A153" s="109" t="s">
        <v>116</v>
      </c>
      <c r="B153" s="170" t="s">
        <v>73</v>
      </c>
      <c r="E153" s="160"/>
      <c r="F153" s="158"/>
      <c r="G153" s="160"/>
      <c r="H153" s="164"/>
      <c r="I153" s="3">
        <f>G153*H153</f>
        <v>0</v>
      </c>
      <c r="J153" s="53">
        <f>I153*C4</f>
        <v>0</v>
      </c>
      <c r="K153" s="242"/>
      <c r="L153" s="242"/>
      <c r="M153" s="242"/>
      <c r="N153" s="242"/>
      <c r="O153" s="242"/>
      <c r="P153" s="242"/>
      <c r="Q153" s="242"/>
      <c r="R153" s="242"/>
      <c r="S153" s="242"/>
      <c r="T153" s="251"/>
      <c r="U153" s="256"/>
      <c r="V153" s="225">
        <f t="shared" si="8"/>
        <v>0</v>
      </c>
      <c r="W153" s="231">
        <f t="shared" si="9"/>
        <v>0</v>
      </c>
      <c r="X153" s="225">
        <f>U153*C76</f>
        <v>0</v>
      </c>
      <c r="Y153" s="225">
        <f t="shared" si="10"/>
        <v>0</v>
      </c>
      <c r="Z153" s="234">
        <f t="shared" si="11"/>
        <v>0</v>
      </c>
      <c r="AA153" s="234"/>
    </row>
    <row r="154" spans="1:27" hidden="1" x14ac:dyDescent="0.25">
      <c r="A154" s="109" t="s">
        <v>117</v>
      </c>
      <c r="B154" s="170" t="s">
        <v>74</v>
      </c>
      <c r="E154" s="160"/>
      <c r="F154" s="158"/>
      <c r="G154" s="160"/>
      <c r="H154" s="164"/>
      <c r="I154" s="3">
        <f>G154*H154</f>
        <v>0</v>
      </c>
      <c r="J154" s="53">
        <f>I154*C4</f>
        <v>0</v>
      </c>
      <c r="K154" s="242"/>
      <c r="L154" s="242"/>
      <c r="M154" s="242"/>
      <c r="N154" s="242"/>
      <c r="O154" s="242"/>
      <c r="P154" s="242"/>
      <c r="Q154" s="242"/>
      <c r="R154" s="242"/>
      <c r="S154" s="242"/>
      <c r="T154" s="251"/>
      <c r="U154" s="256"/>
      <c r="V154" s="225">
        <f t="shared" si="8"/>
        <v>0</v>
      </c>
      <c r="W154" s="231">
        <f t="shared" si="9"/>
        <v>0</v>
      </c>
      <c r="X154" s="225">
        <f>U154*C77</f>
        <v>0</v>
      </c>
      <c r="Y154" s="225">
        <f t="shared" si="10"/>
        <v>0</v>
      </c>
      <c r="Z154" s="234">
        <f t="shared" si="11"/>
        <v>0</v>
      </c>
      <c r="AA154" s="234"/>
    </row>
    <row r="155" spans="1:27" hidden="1" x14ac:dyDescent="0.25">
      <c r="A155" s="109" t="s">
        <v>118</v>
      </c>
      <c r="B155" s="170" t="s">
        <v>75</v>
      </c>
      <c r="E155" s="160"/>
      <c r="F155" s="158"/>
      <c r="G155" s="160"/>
      <c r="H155" s="164"/>
      <c r="I155" s="3">
        <f>G155*H155</f>
        <v>0</v>
      </c>
      <c r="J155" s="53">
        <f>I155*C4</f>
        <v>0</v>
      </c>
      <c r="K155" s="242"/>
      <c r="L155" s="242"/>
      <c r="M155" s="242"/>
      <c r="N155" s="242"/>
      <c r="O155" s="242"/>
      <c r="P155" s="242"/>
      <c r="Q155" s="242"/>
      <c r="R155" s="242"/>
      <c r="S155" s="242"/>
      <c r="T155" s="251"/>
      <c r="U155" s="256"/>
      <c r="V155" s="225">
        <f t="shared" si="8"/>
        <v>0</v>
      </c>
      <c r="W155" s="231">
        <f t="shared" si="9"/>
        <v>0</v>
      </c>
      <c r="X155" s="225">
        <f>U155*C78</f>
        <v>0</v>
      </c>
      <c r="Y155" s="225">
        <f t="shared" si="10"/>
        <v>0</v>
      </c>
      <c r="Z155" s="234">
        <f t="shared" si="11"/>
        <v>0</v>
      </c>
      <c r="AA155" s="234"/>
    </row>
    <row r="156" spans="1:27" hidden="1" x14ac:dyDescent="0.25">
      <c r="A156" s="99"/>
      <c r="B156" s="170"/>
      <c r="E156" s="171"/>
      <c r="F156" s="172"/>
      <c r="G156" s="171"/>
      <c r="H156" s="173"/>
      <c r="I156" s="3"/>
      <c r="J156" s="53"/>
      <c r="K156" s="242"/>
      <c r="L156" s="242"/>
      <c r="M156" s="242"/>
      <c r="N156" s="242"/>
      <c r="O156" s="242"/>
      <c r="P156" s="242"/>
      <c r="Q156" s="242"/>
      <c r="R156" s="242"/>
      <c r="S156" s="242"/>
      <c r="T156" s="251"/>
      <c r="U156" s="256"/>
      <c r="V156" s="225">
        <f t="shared" si="8"/>
        <v>0</v>
      </c>
      <c r="W156" s="231">
        <f t="shared" si="9"/>
        <v>0</v>
      </c>
      <c r="X156" s="225">
        <f>U156*C79</f>
        <v>0</v>
      </c>
      <c r="Y156" s="225">
        <f t="shared" si="10"/>
        <v>0</v>
      </c>
      <c r="Z156" s="234">
        <f t="shared" si="11"/>
        <v>0</v>
      </c>
      <c r="AA156" s="234"/>
    </row>
    <row r="157" spans="1:27" ht="13.8" thickBot="1" x14ac:dyDescent="0.3">
      <c r="A157" s="99"/>
      <c r="B157" s="146" t="s">
        <v>76</v>
      </c>
      <c r="E157" s="171"/>
      <c r="F157" s="172"/>
      <c r="G157" s="171"/>
      <c r="H157" s="173"/>
      <c r="I157" s="50">
        <f>'FCA Jordan'!G228+'FCA Syria'!G221+'IOCC Syria'!G213+'LWF Jordan'!G228</f>
        <v>23543.894</v>
      </c>
      <c r="J157" s="50">
        <f>I157*C4</f>
        <v>23543.894</v>
      </c>
      <c r="K157" s="244"/>
      <c r="L157" s="244"/>
      <c r="M157" s="244"/>
      <c r="N157" s="244"/>
      <c r="O157" s="244"/>
      <c r="P157" s="244"/>
      <c r="Q157" s="244"/>
      <c r="R157" s="244"/>
      <c r="S157" s="244"/>
      <c r="T157" s="253"/>
      <c r="U157" s="263"/>
      <c r="V157" s="225">
        <f t="shared" si="8"/>
        <v>-23543.894</v>
      </c>
      <c r="W157" s="231">
        <f t="shared" si="9"/>
        <v>-1</v>
      </c>
      <c r="X157" s="225">
        <f>U157*C4</f>
        <v>0</v>
      </c>
      <c r="Y157" s="225">
        <f t="shared" si="10"/>
        <v>-23543.894</v>
      </c>
      <c r="Z157" s="234">
        <f t="shared" si="11"/>
        <v>-1</v>
      </c>
      <c r="AA157" s="234"/>
    </row>
    <row r="158" spans="1:27" ht="13.8" thickTop="1" x14ac:dyDescent="0.25">
      <c r="B158" s="174"/>
      <c r="F158" s="71"/>
      <c r="I158" s="175"/>
      <c r="K158" s="242"/>
      <c r="L158" s="242"/>
      <c r="M158" s="242"/>
      <c r="N158" s="242"/>
      <c r="O158" s="242"/>
      <c r="P158" s="242"/>
      <c r="Q158" s="242"/>
      <c r="R158" s="242"/>
      <c r="S158" s="242"/>
      <c r="T158" s="251"/>
      <c r="U158" s="257"/>
      <c r="V158" s="225"/>
      <c r="W158" s="231"/>
      <c r="X158" s="225"/>
      <c r="Y158" s="225"/>
      <c r="Z158" s="234"/>
      <c r="AA158" s="234"/>
    </row>
    <row r="159" spans="1:27" x14ac:dyDescent="0.25">
      <c r="A159" s="99" t="s">
        <v>119</v>
      </c>
      <c r="B159" s="99" t="s">
        <v>193</v>
      </c>
      <c r="E159" s="142"/>
      <c r="F159" s="2"/>
      <c r="G159" s="142"/>
      <c r="H159" s="143"/>
      <c r="I159" s="3"/>
      <c r="J159" s="53"/>
      <c r="K159" s="242"/>
      <c r="L159" s="242"/>
      <c r="M159" s="242"/>
      <c r="N159" s="242"/>
      <c r="O159" s="242"/>
      <c r="P159" s="242"/>
      <c r="Q159" s="242"/>
      <c r="R159" s="242"/>
      <c r="S159" s="242"/>
      <c r="T159" s="251"/>
      <c r="U159" s="256"/>
      <c r="V159" s="225"/>
      <c r="W159" s="231"/>
      <c r="X159" s="225"/>
      <c r="Y159" s="225"/>
      <c r="Z159" s="234"/>
      <c r="AA159" s="234"/>
    </row>
    <row r="160" spans="1:27" hidden="1" x14ac:dyDescent="0.25">
      <c r="A160" s="109" t="s">
        <v>120</v>
      </c>
      <c r="B160" s="170" t="s">
        <v>129</v>
      </c>
      <c r="E160" s="160"/>
      <c r="F160" s="158"/>
      <c r="G160" s="160"/>
      <c r="H160" s="164"/>
      <c r="I160" s="3">
        <f>G160*H160</f>
        <v>0</v>
      </c>
      <c r="J160" s="53">
        <f>I160*C4</f>
        <v>0</v>
      </c>
      <c r="K160" s="242"/>
      <c r="L160" s="242"/>
      <c r="M160" s="242"/>
      <c r="N160" s="242"/>
      <c r="O160" s="242"/>
      <c r="P160" s="242"/>
      <c r="Q160" s="242"/>
      <c r="R160" s="242"/>
      <c r="S160" s="242"/>
      <c r="T160" s="251"/>
      <c r="U160" s="256"/>
      <c r="V160" s="225">
        <f t="shared" si="8"/>
        <v>0</v>
      </c>
      <c r="W160" s="231">
        <f t="shared" si="9"/>
        <v>0</v>
      </c>
      <c r="X160" s="225">
        <f>U160*C83</f>
        <v>0</v>
      </c>
      <c r="Y160" s="225">
        <f t="shared" si="10"/>
        <v>0</v>
      </c>
      <c r="Z160" s="234">
        <f t="shared" si="11"/>
        <v>0</v>
      </c>
      <c r="AA160" s="234"/>
    </row>
    <row r="161" spans="1:27" hidden="1" x14ac:dyDescent="0.25">
      <c r="A161" s="109" t="s">
        <v>121</v>
      </c>
      <c r="B161" s="170" t="s">
        <v>130</v>
      </c>
      <c r="E161" s="160"/>
      <c r="F161" s="158"/>
      <c r="G161" s="160"/>
      <c r="H161" s="164"/>
      <c r="I161" s="3">
        <f>G161*H161</f>
        <v>0</v>
      </c>
      <c r="J161" s="53">
        <f>I161*C4</f>
        <v>0</v>
      </c>
      <c r="K161" s="242"/>
      <c r="L161" s="242"/>
      <c r="M161" s="242"/>
      <c r="N161" s="242"/>
      <c r="O161" s="242"/>
      <c r="P161" s="242"/>
      <c r="Q161" s="242"/>
      <c r="R161" s="242"/>
      <c r="S161" s="242"/>
      <c r="T161" s="251"/>
      <c r="U161" s="256"/>
      <c r="V161" s="225">
        <f t="shared" si="8"/>
        <v>0</v>
      </c>
      <c r="W161" s="231">
        <f t="shared" si="9"/>
        <v>0</v>
      </c>
      <c r="X161" s="225">
        <f>U161*C84</f>
        <v>0</v>
      </c>
      <c r="Y161" s="225">
        <f t="shared" si="10"/>
        <v>0</v>
      </c>
      <c r="Z161" s="234">
        <f t="shared" si="11"/>
        <v>0</v>
      </c>
      <c r="AA161" s="234"/>
    </row>
    <row r="162" spans="1:27" hidden="1" x14ac:dyDescent="0.25">
      <c r="A162" s="109" t="s">
        <v>122</v>
      </c>
      <c r="B162" s="170" t="s">
        <v>128</v>
      </c>
      <c r="E162" s="160"/>
      <c r="F162" s="158"/>
      <c r="G162" s="160"/>
      <c r="H162" s="164"/>
      <c r="I162" s="3">
        <f>G162*H162</f>
        <v>0</v>
      </c>
      <c r="J162" s="53">
        <f>I162*C4</f>
        <v>0</v>
      </c>
      <c r="K162" s="242"/>
      <c r="L162" s="242"/>
      <c r="M162" s="242"/>
      <c r="N162" s="242"/>
      <c r="O162" s="242"/>
      <c r="P162" s="242"/>
      <c r="Q162" s="242"/>
      <c r="R162" s="242"/>
      <c r="S162" s="242"/>
      <c r="T162" s="251"/>
      <c r="U162" s="256"/>
      <c r="V162" s="225">
        <f t="shared" si="8"/>
        <v>0</v>
      </c>
      <c r="W162" s="231">
        <f t="shared" si="9"/>
        <v>0</v>
      </c>
      <c r="X162" s="225">
        <f>U162*C85</f>
        <v>0</v>
      </c>
      <c r="Y162" s="225">
        <f t="shared" si="10"/>
        <v>0</v>
      </c>
      <c r="Z162" s="234">
        <f t="shared" si="11"/>
        <v>0</v>
      </c>
      <c r="AA162" s="234"/>
    </row>
    <row r="163" spans="1:27" hidden="1" x14ac:dyDescent="0.25">
      <c r="A163" s="109" t="s">
        <v>123</v>
      </c>
      <c r="B163" s="170" t="s">
        <v>131</v>
      </c>
      <c r="E163" s="160"/>
      <c r="F163" s="158"/>
      <c r="G163" s="160"/>
      <c r="H163" s="164"/>
      <c r="I163" s="3">
        <f>G163*H163</f>
        <v>0</v>
      </c>
      <c r="J163" s="53">
        <f>I163*C4</f>
        <v>0</v>
      </c>
      <c r="K163" s="242"/>
      <c r="L163" s="242"/>
      <c r="M163" s="242"/>
      <c r="N163" s="242"/>
      <c r="O163" s="242"/>
      <c r="P163" s="242"/>
      <c r="Q163" s="242"/>
      <c r="R163" s="242"/>
      <c r="S163" s="242"/>
      <c r="T163" s="251"/>
      <c r="U163" s="256"/>
      <c r="V163" s="225">
        <f t="shared" si="8"/>
        <v>0</v>
      </c>
      <c r="W163" s="231">
        <f t="shared" si="9"/>
        <v>0</v>
      </c>
      <c r="X163" s="225">
        <f>U163*C86</f>
        <v>0</v>
      </c>
      <c r="Y163" s="225">
        <f t="shared" si="10"/>
        <v>0</v>
      </c>
      <c r="Z163" s="234">
        <f t="shared" si="11"/>
        <v>0</v>
      </c>
      <c r="AA163" s="234"/>
    </row>
    <row r="164" spans="1:27" hidden="1" x14ac:dyDescent="0.25">
      <c r="A164" s="99"/>
      <c r="B164" s="170"/>
      <c r="E164" s="171"/>
      <c r="F164" s="172"/>
      <c r="G164" s="171"/>
      <c r="H164" s="173"/>
      <c r="I164" s="3"/>
      <c r="J164" s="53"/>
      <c r="K164" s="242"/>
      <c r="L164" s="242"/>
      <c r="M164" s="242"/>
      <c r="N164" s="242"/>
      <c r="O164" s="242"/>
      <c r="P164" s="242"/>
      <c r="Q164" s="242"/>
      <c r="R164" s="242"/>
      <c r="S164" s="242"/>
      <c r="T164" s="251"/>
      <c r="U164" s="256"/>
      <c r="V164" s="225">
        <f t="shared" si="8"/>
        <v>0</v>
      </c>
      <c r="W164" s="231">
        <f t="shared" si="9"/>
        <v>0</v>
      </c>
      <c r="X164" s="225">
        <f>U164*C87</f>
        <v>0</v>
      </c>
      <c r="Y164" s="225">
        <f t="shared" si="10"/>
        <v>0</v>
      </c>
      <c r="Z164" s="234">
        <f t="shared" si="11"/>
        <v>0</v>
      </c>
      <c r="AA164" s="234"/>
    </row>
    <row r="165" spans="1:27" ht="13.8" thickBot="1" x14ac:dyDescent="0.3">
      <c r="A165" s="99"/>
      <c r="B165" s="146" t="s">
        <v>194</v>
      </c>
      <c r="E165" s="171"/>
      <c r="F165" s="172"/>
      <c r="G165" s="171"/>
      <c r="H165" s="173"/>
      <c r="I165" s="50">
        <f>'DSPR Jordan'!G232+'DSPR Lebanon'!G221+'FCA Jordan'!G236+'FCA Syria'!G229+'IOCC Jordan'!G229+'IOCC Lebanon'!G224+'IOCC Syria'!G221+'LWF Jordan'!G237+'MECC Lebanon'!G222+'MECC Syria'!G224</f>
        <v>79417.81</v>
      </c>
      <c r="J165" s="50">
        <f>I165*C4</f>
        <v>79417.81</v>
      </c>
      <c r="K165" s="244"/>
      <c r="L165" s="244"/>
      <c r="M165" s="244"/>
      <c r="N165" s="244"/>
      <c r="O165" s="244"/>
      <c r="P165" s="244"/>
      <c r="Q165" s="244"/>
      <c r="R165" s="244"/>
      <c r="S165" s="244"/>
      <c r="T165" s="253"/>
      <c r="U165" s="263"/>
      <c r="V165" s="225">
        <f t="shared" si="8"/>
        <v>-79417.81</v>
      </c>
      <c r="W165" s="231">
        <f t="shared" si="9"/>
        <v>-1</v>
      </c>
      <c r="X165" s="225">
        <f>U165*C4</f>
        <v>0</v>
      </c>
      <c r="Y165" s="225">
        <f t="shared" si="10"/>
        <v>-79417.81</v>
      </c>
      <c r="Z165" s="234">
        <f t="shared" si="11"/>
        <v>-1</v>
      </c>
      <c r="AA165" s="234"/>
    </row>
    <row r="166" spans="1:27" ht="13.8" thickTop="1" x14ac:dyDescent="0.25">
      <c r="B166" s="174"/>
      <c r="F166" s="71"/>
      <c r="I166" s="175"/>
      <c r="K166" s="242"/>
      <c r="L166" s="242"/>
      <c r="M166" s="242"/>
      <c r="N166" s="242"/>
      <c r="O166" s="242"/>
      <c r="P166" s="242"/>
      <c r="Q166" s="242"/>
      <c r="R166" s="242"/>
      <c r="S166" s="242"/>
      <c r="T166" s="251"/>
      <c r="U166" s="257"/>
      <c r="V166" s="225"/>
      <c r="W166" s="231"/>
      <c r="X166" s="225"/>
      <c r="Y166" s="225"/>
      <c r="Z166" s="234"/>
      <c r="AA166" s="234"/>
    </row>
    <row r="167" spans="1:27" x14ac:dyDescent="0.25">
      <c r="A167" s="99" t="s">
        <v>157</v>
      </c>
      <c r="B167" s="99" t="s">
        <v>156</v>
      </c>
      <c r="E167" s="142"/>
      <c r="F167" s="2"/>
      <c r="G167" s="142"/>
      <c r="H167" s="143"/>
      <c r="I167" s="3"/>
      <c r="J167" s="53"/>
      <c r="K167" s="242"/>
      <c r="L167" s="242"/>
      <c r="M167" s="242"/>
      <c r="N167" s="242"/>
      <c r="O167" s="242"/>
      <c r="P167" s="242"/>
      <c r="Q167" s="242"/>
      <c r="R167" s="242"/>
      <c r="S167" s="242"/>
      <c r="T167" s="251"/>
      <c r="U167" s="256"/>
      <c r="V167" s="225"/>
      <c r="W167" s="231"/>
      <c r="X167" s="225"/>
      <c r="Y167" s="225"/>
      <c r="Z167" s="234"/>
      <c r="AA167" s="234"/>
    </row>
    <row r="168" spans="1:27" hidden="1" x14ac:dyDescent="0.25">
      <c r="A168" s="109" t="s">
        <v>162</v>
      </c>
      <c r="B168" s="170" t="s">
        <v>158</v>
      </c>
      <c r="E168" s="160"/>
      <c r="F168" s="158"/>
      <c r="G168" s="160"/>
      <c r="H168" s="164"/>
      <c r="I168" s="3">
        <f>G168*H168</f>
        <v>0</v>
      </c>
      <c r="J168" s="53">
        <f>I168*C4</f>
        <v>0</v>
      </c>
      <c r="K168" s="242"/>
      <c r="L168" s="242"/>
      <c r="M168" s="242"/>
      <c r="N168" s="242"/>
      <c r="O168" s="242"/>
      <c r="P168" s="242"/>
      <c r="Q168" s="242"/>
      <c r="R168" s="242"/>
      <c r="S168" s="242"/>
      <c r="T168" s="251"/>
      <c r="U168" s="256"/>
      <c r="V168" s="225">
        <f t="shared" si="8"/>
        <v>0</v>
      </c>
      <c r="W168" s="231">
        <f t="shared" si="9"/>
        <v>0</v>
      </c>
      <c r="X168" s="225">
        <f>U168*C91</f>
        <v>0</v>
      </c>
      <c r="Y168" s="225">
        <f t="shared" si="10"/>
        <v>0</v>
      </c>
      <c r="Z168" s="234">
        <f t="shared" si="11"/>
        <v>0</v>
      </c>
      <c r="AA168" s="234"/>
    </row>
    <row r="169" spans="1:27" hidden="1" x14ac:dyDescent="0.25">
      <c r="A169" s="109" t="s">
        <v>163</v>
      </c>
      <c r="B169" s="170" t="s">
        <v>159</v>
      </c>
      <c r="E169" s="160"/>
      <c r="F169" s="158"/>
      <c r="G169" s="160"/>
      <c r="H169" s="164"/>
      <c r="I169" s="3">
        <f>G169*H169</f>
        <v>0</v>
      </c>
      <c r="J169" s="53">
        <f>I169*C4</f>
        <v>0</v>
      </c>
      <c r="K169" s="242"/>
      <c r="L169" s="242"/>
      <c r="M169" s="242"/>
      <c r="N169" s="242"/>
      <c r="O169" s="242"/>
      <c r="P169" s="242"/>
      <c r="Q169" s="242"/>
      <c r="R169" s="242"/>
      <c r="S169" s="242"/>
      <c r="T169" s="251"/>
      <c r="U169" s="256"/>
      <c r="V169" s="225">
        <f t="shared" si="8"/>
        <v>0</v>
      </c>
      <c r="W169" s="231">
        <f t="shared" si="9"/>
        <v>0</v>
      </c>
      <c r="X169" s="225">
        <f>U169*C92</f>
        <v>0</v>
      </c>
      <c r="Y169" s="225">
        <f t="shared" si="10"/>
        <v>0</v>
      </c>
      <c r="Z169" s="234">
        <f t="shared" si="11"/>
        <v>0</v>
      </c>
      <c r="AA169" s="234"/>
    </row>
    <row r="170" spans="1:27" hidden="1" x14ac:dyDescent="0.25">
      <c r="A170" s="109" t="s">
        <v>164</v>
      </c>
      <c r="B170" s="170" t="s">
        <v>160</v>
      </c>
      <c r="E170" s="160"/>
      <c r="F170" s="158"/>
      <c r="G170" s="160"/>
      <c r="H170" s="164"/>
      <c r="I170" s="3">
        <f>G170*H170</f>
        <v>0</v>
      </c>
      <c r="J170" s="53">
        <f>I170*C4</f>
        <v>0</v>
      </c>
      <c r="K170" s="242"/>
      <c r="L170" s="242"/>
      <c r="M170" s="242"/>
      <c r="N170" s="242"/>
      <c r="O170" s="242"/>
      <c r="P170" s="242"/>
      <c r="Q170" s="242"/>
      <c r="R170" s="242"/>
      <c r="S170" s="242"/>
      <c r="T170" s="251"/>
      <c r="U170" s="256"/>
      <c r="V170" s="225">
        <f t="shared" si="8"/>
        <v>0</v>
      </c>
      <c r="W170" s="231">
        <f t="shared" si="9"/>
        <v>0</v>
      </c>
      <c r="X170" s="225">
        <f>U170*C93</f>
        <v>0</v>
      </c>
      <c r="Y170" s="225">
        <f t="shared" si="10"/>
        <v>0</v>
      </c>
      <c r="Z170" s="234">
        <f t="shared" si="11"/>
        <v>0</v>
      </c>
      <c r="AA170" s="234"/>
    </row>
    <row r="171" spans="1:27" hidden="1" x14ac:dyDescent="0.25">
      <c r="A171" s="99"/>
      <c r="B171" s="170"/>
      <c r="E171" s="171"/>
      <c r="F171" s="172"/>
      <c r="G171" s="171"/>
      <c r="H171" s="173"/>
      <c r="I171" s="3"/>
      <c r="J171" s="53"/>
      <c r="K171" s="242"/>
      <c r="L171" s="242"/>
      <c r="M171" s="242"/>
      <c r="N171" s="242"/>
      <c r="O171" s="242"/>
      <c r="P171" s="242"/>
      <c r="Q171" s="242"/>
      <c r="R171" s="242"/>
      <c r="S171" s="242"/>
      <c r="T171" s="251"/>
      <c r="U171" s="256"/>
      <c r="V171" s="225">
        <f t="shared" si="8"/>
        <v>0</v>
      </c>
      <c r="W171" s="231">
        <f t="shared" si="9"/>
        <v>0</v>
      </c>
      <c r="X171" s="225">
        <f>U171*C94</f>
        <v>0</v>
      </c>
      <c r="Y171" s="225">
        <f t="shared" si="10"/>
        <v>0</v>
      </c>
      <c r="Z171" s="234">
        <f t="shared" si="11"/>
        <v>0</v>
      </c>
      <c r="AA171" s="234"/>
    </row>
    <row r="172" spans="1:27" ht="13.8" thickBot="1" x14ac:dyDescent="0.3">
      <c r="A172" s="99"/>
      <c r="B172" s="146" t="s">
        <v>161</v>
      </c>
      <c r="E172" s="171"/>
      <c r="F172" s="172"/>
      <c r="G172" s="171"/>
      <c r="H172" s="173"/>
      <c r="I172" s="50">
        <f>'FCA Jordan'!G243+'FCA Syria'!G236+'IOCC Lebanon'!G231+'LWF Jordan'!G244+'MECC Lebanon'!G229+'MECC Syria'!G231</f>
        <v>46362.5</v>
      </c>
      <c r="J172" s="50">
        <f>I172*C4</f>
        <v>46362.5</v>
      </c>
      <c r="K172" s="244"/>
      <c r="L172" s="244"/>
      <c r="M172" s="244"/>
      <c r="N172" s="244"/>
      <c r="O172" s="244"/>
      <c r="P172" s="244"/>
      <c r="Q172" s="244"/>
      <c r="R172" s="244"/>
      <c r="S172" s="244"/>
      <c r="T172" s="253"/>
      <c r="U172" s="263"/>
      <c r="V172" s="225">
        <f t="shared" si="8"/>
        <v>-46362.5</v>
      </c>
      <c r="W172" s="231">
        <f t="shared" si="9"/>
        <v>-1</v>
      </c>
      <c r="X172" s="225">
        <f>U172*C4</f>
        <v>0</v>
      </c>
      <c r="Y172" s="225">
        <f t="shared" si="10"/>
        <v>-46362.5</v>
      </c>
      <c r="Z172" s="234">
        <f t="shared" si="11"/>
        <v>-1</v>
      </c>
      <c r="AA172" s="234"/>
    </row>
    <row r="173" spans="1:27" ht="13.8" thickTop="1" x14ac:dyDescent="0.25">
      <c r="A173" s="99"/>
      <c r="B173" s="146"/>
      <c r="E173" s="171"/>
      <c r="F173" s="172"/>
      <c r="G173" s="171"/>
      <c r="H173" s="173"/>
      <c r="I173" s="169"/>
      <c r="J173" s="169"/>
      <c r="K173" s="244"/>
      <c r="L173" s="244"/>
      <c r="M173" s="244"/>
      <c r="N173" s="244"/>
      <c r="O173" s="244"/>
      <c r="P173" s="244"/>
      <c r="Q173" s="244"/>
      <c r="R173" s="244"/>
      <c r="S173" s="244"/>
      <c r="T173" s="253"/>
      <c r="U173" s="263"/>
      <c r="V173" s="225"/>
      <c r="W173" s="231"/>
      <c r="X173" s="225"/>
      <c r="Y173" s="225"/>
      <c r="Z173" s="234"/>
      <c r="AA173" s="234"/>
    </row>
    <row r="174" spans="1:27" x14ac:dyDescent="0.25">
      <c r="A174" s="99" t="s">
        <v>310</v>
      </c>
      <c r="B174" s="146" t="s">
        <v>311</v>
      </c>
      <c r="E174" s="171"/>
      <c r="F174" s="172"/>
      <c r="G174" s="171"/>
      <c r="H174" s="173"/>
      <c r="I174" s="169"/>
      <c r="J174" s="169"/>
      <c r="K174" s="244"/>
      <c r="L174" s="244"/>
      <c r="M174" s="244"/>
      <c r="N174" s="244"/>
      <c r="O174" s="244"/>
      <c r="P174" s="244"/>
      <c r="Q174" s="244"/>
      <c r="R174" s="244"/>
      <c r="S174" s="244"/>
      <c r="T174" s="253"/>
      <c r="U174" s="263"/>
      <c r="V174" s="225"/>
      <c r="W174" s="231"/>
      <c r="X174" s="225"/>
      <c r="Y174" s="225"/>
      <c r="Z174" s="234"/>
      <c r="AA174" s="234"/>
    </row>
    <row r="175" spans="1:27" ht="13.8" thickBot="1" x14ac:dyDescent="0.3">
      <c r="A175" s="99"/>
      <c r="B175" s="146" t="s">
        <v>312</v>
      </c>
      <c r="E175" s="171"/>
      <c r="F175" s="172"/>
      <c r="G175" s="171"/>
      <c r="H175" s="173"/>
      <c r="I175" s="50">
        <f ca="1">'DSPR Jordan'!G244+'DSPR Lebanon'!G233+'FCA Jordan'!G248+'FCA Syria'!G241+'IOCC Jordan'!G241+'IOCC Lebanon'!G236+'IOCC Syria'!G233+'LWF Jordan'!G249+'MECC Lebanon'!G234+'MECC Syria'!G236</f>
        <v>294253.00608110393</v>
      </c>
      <c r="J175" s="266">
        <f ca="1">I175*C4</f>
        <v>294253.00608110393</v>
      </c>
      <c r="K175" s="244"/>
      <c r="L175" s="244"/>
      <c r="M175" s="244"/>
      <c r="N175" s="244"/>
      <c r="O175" s="244"/>
      <c r="P175" s="244"/>
      <c r="Q175" s="244"/>
      <c r="R175" s="244"/>
      <c r="S175" s="244"/>
      <c r="T175" s="253"/>
      <c r="U175" s="263" t="e">
        <f>'DSPR Jordan'!R242+'DSPR Lebanon'!R231+'FCA Jordan'!R246+'FCA Syria'!R239+'IOCC Jordan'!R239+'IOCC Lebanon'!R234+'IOCC Syria'!R231</f>
        <v>#REF!</v>
      </c>
      <c r="V175" s="225"/>
      <c r="W175" s="231"/>
      <c r="X175" s="225" t="e">
        <f>'DSPR Jordan'!U242+'DSPR Lebanon'!U231+'FCA Jordan'!U246+'FCA Syria'!U239+'IOCC Jordan'!U239+'IOCC Lebanon'!U234+'IOCC Syria'!U231</f>
        <v>#REF!</v>
      </c>
      <c r="Y175" s="225"/>
      <c r="Z175" s="234"/>
      <c r="AA175" s="234"/>
    </row>
    <row r="176" spans="1:27" ht="13.8" thickTop="1" x14ac:dyDescent="0.25">
      <c r="A176" s="99"/>
      <c r="B176" s="146"/>
      <c r="E176" s="122"/>
      <c r="F176" s="118"/>
      <c r="G176" s="122"/>
      <c r="H176" s="123"/>
      <c r="I176" s="169"/>
      <c r="J176" s="169"/>
      <c r="K176" s="244"/>
      <c r="L176" s="244"/>
      <c r="M176" s="244"/>
      <c r="N176" s="244"/>
      <c r="O176" s="244"/>
      <c r="P176" s="244"/>
      <c r="Q176" s="244"/>
      <c r="R176" s="244"/>
      <c r="S176" s="244"/>
      <c r="T176" s="253"/>
      <c r="U176" s="259"/>
      <c r="V176" s="225"/>
      <c r="W176" s="231"/>
      <c r="X176" s="225"/>
      <c r="Y176" s="225"/>
      <c r="Z176" s="234"/>
      <c r="AA176" s="234"/>
    </row>
    <row r="177" spans="1:27" ht="13.8" thickBot="1" x14ac:dyDescent="0.3">
      <c r="A177" s="176"/>
      <c r="B177" s="177" t="s">
        <v>49</v>
      </c>
      <c r="C177" s="177"/>
      <c r="D177" s="177"/>
      <c r="E177" s="178"/>
      <c r="F177" s="179"/>
      <c r="G177" s="178"/>
      <c r="H177" s="180"/>
      <c r="I177" s="54">
        <f ca="1">I98+I112+I123+I139+I148+I157+I165+I172+I175</f>
        <v>9237043.443851104</v>
      </c>
      <c r="J177" s="54">
        <f ca="1">I177*C4</f>
        <v>9237043.443851104</v>
      </c>
      <c r="K177" s="244"/>
      <c r="L177" s="244"/>
      <c r="M177" s="244"/>
      <c r="N177" s="244"/>
      <c r="O177" s="244"/>
      <c r="P177" s="244"/>
      <c r="Q177" s="244"/>
      <c r="R177" s="244"/>
      <c r="S177" s="244"/>
      <c r="T177" s="253"/>
      <c r="U177" s="263"/>
      <c r="V177" s="226">
        <f t="shared" ca="1" si="8"/>
        <v>-9237043.443851104</v>
      </c>
      <c r="W177" s="236">
        <f t="shared" ca="1" si="9"/>
        <v>-1</v>
      </c>
      <c r="X177" s="226">
        <f>U177*C4</f>
        <v>0</v>
      </c>
      <c r="Y177" s="226">
        <f t="shared" ca="1" si="10"/>
        <v>-9237043.443851104</v>
      </c>
      <c r="Z177" s="236">
        <f t="shared" ca="1" si="11"/>
        <v>-1</v>
      </c>
      <c r="AA177" s="236"/>
    </row>
    <row r="178" spans="1:27" ht="13.8" thickTop="1" x14ac:dyDescent="0.25">
      <c r="B178" s="87"/>
      <c r="F178" s="71"/>
      <c r="I178" s="48"/>
      <c r="K178" s="242"/>
      <c r="L178" s="242"/>
      <c r="M178" s="242"/>
      <c r="N178" s="242"/>
      <c r="O178" s="242"/>
      <c r="P178" s="242"/>
      <c r="Q178" s="242"/>
      <c r="R178" s="242"/>
      <c r="S178" s="242"/>
      <c r="T178" s="251"/>
      <c r="U178" s="257"/>
      <c r="V178" s="225"/>
      <c r="W178" s="231"/>
      <c r="X178" s="225"/>
      <c r="Y178" s="225"/>
      <c r="Z178" s="234"/>
      <c r="AA178" s="234"/>
    </row>
    <row r="179" spans="1:27" x14ac:dyDescent="0.25">
      <c r="A179" s="70" t="s">
        <v>57</v>
      </c>
      <c r="F179" s="71"/>
      <c r="I179" s="48"/>
      <c r="K179" s="242"/>
      <c r="L179" s="242"/>
      <c r="M179" s="242"/>
      <c r="N179" s="242"/>
      <c r="O179" s="242"/>
      <c r="P179" s="242"/>
      <c r="Q179" s="242"/>
      <c r="R179" s="242"/>
      <c r="S179" s="242"/>
      <c r="T179" s="251"/>
      <c r="U179" s="257"/>
      <c r="V179" s="225"/>
      <c r="W179" s="231"/>
      <c r="X179" s="225"/>
      <c r="Y179" s="225"/>
      <c r="Z179" s="234"/>
      <c r="AA179" s="234"/>
    </row>
    <row r="180" spans="1:27" hidden="1" x14ac:dyDescent="0.25">
      <c r="A180" s="70" t="s">
        <v>18</v>
      </c>
      <c r="B180" s="181" t="s">
        <v>9</v>
      </c>
      <c r="F180" s="71"/>
      <c r="I180" s="48"/>
      <c r="K180" s="242"/>
      <c r="L180" s="242"/>
      <c r="M180" s="242"/>
      <c r="N180" s="242"/>
      <c r="O180" s="242"/>
      <c r="P180" s="242"/>
      <c r="Q180" s="242"/>
      <c r="R180" s="242"/>
      <c r="S180" s="242"/>
      <c r="T180" s="251"/>
      <c r="U180" s="257"/>
      <c r="V180" s="225"/>
      <c r="W180" s="231"/>
      <c r="X180" s="225"/>
      <c r="Y180" s="225"/>
      <c r="Z180" s="234"/>
      <c r="AA180" s="234"/>
    </row>
    <row r="181" spans="1:27" hidden="1" x14ac:dyDescent="0.25">
      <c r="B181" s="137" t="s">
        <v>33</v>
      </c>
      <c r="E181" s="160"/>
      <c r="F181" s="158"/>
      <c r="G181" s="160"/>
      <c r="H181" s="164"/>
      <c r="I181" s="48">
        <f>G181*H181</f>
        <v>0</v>
      </c>
      <c r="J181" s="49">
        <f>I181*C4</f>
        <v>0</v>
      </c>
      <c r="K181" s="242"/>
      <c r="L181" s="242"/>
      <c r="M181" s="242"/>
      <c r="N181" s="242"/>
      <c r="O181" s="242"/>
      <c r="P181" s="242"/>
      <c r="Q181" s="242"/>
      <c r="R181" s="242"/>
      <c r="S181" s="242"/>
      <c r="T181" s="251"/>
      <c r="U181" s="262"/>
      <c r="V181" s="225">
        <f t="shared" si="8"/>
        <v>0</v>
      </c>
      <c r="W181" s="231">
        <f t="shared" si="9"/>
        <v>0</v>
      </c>
      <c r="X181" s="225">
        <f>U181*C4</f>
        <v>0</v>
      </c>
      <c r="Y181" s="225">
        <f t="shared" si="10"/>
        <v>0</v>
      </c>
      <c r="Z181" s="234">
        <f t="shared" si="11"/>
        <v>0</v>
      </c>
      <c r="AA181" s="234"/>
    </row>
    <row r="182" spans="1:27" hidden="1" x14ac:dyDescent="0.25">
      <c r="B182" s="137" t="s">
        <v>34</v>
      </c>
      <c r="E182" s="160"/>
      <c r="F182" s="158"/>
      <c r="G182" s="160"/>
      <c r="H182" s="164"/>
      <c r="I182" s="48">
        <f>G182*H182</f>
        <v>0</v>
      </c>
      <c r="J182" s="49">
        <f>I182*C4</f>
        <v>0</v>
      </c>
      <c r="K182" s="242"/>
      <c r="L182" s="242"/>
      <c r="M182" s="242"/>
      <c r="N182" s="242"/>
      <c r="O182" s="242"/>
      <c r="P182" s="242"/>
      <c r="Q182" s="242"/>
      <c r="R182" s="242"/>
      <c r="S182" s="242"/>
      <c r="T182" s="251"/>
      <c r="U182" s="262"/>
      <c r="V182" s="225">
        <f t="shared" si="8"/>
        <v>0</v>
      </c>
      <c r="W182" s="231">
        <f t="shared" si="9"/>
        <v>0</v>
      </c>
      <c r="X182" s="225">
        <f>U182*C4</f>
        <v>0</v>
      </c>
      <c r="Y182" s="225">
        <f t="shared" si="10"/>
        <v>0</v>
      </c>
      <c r="Z182" s="234">
        <f t="shared" si="11"/>
        <v>0</v>
      </c>
      <c r="AA182" s="234"/>
    </row>
    <row r="183" spans="1:27" ht="26.4" hidden="1" x14ac:dyDescent="0.25">
      <c r="B183" s="149" t="s">
        <v>59</v>
      </c>
      <c r="E183" s="160"/>
      <c r="F183" s="158"/>
      <c r="G183" s="160"/>
      <c r="H183" s="164"/>
      <c r="I183" s="48">
        <f>G183*H183</f>
        <v>0</v>
      </c>
      <c r="J183" s="49">
        <f>I183*C4</f>
        <v>0</v>
      </c>
      <c r="K183" s="242"/>
      <c r="L183" s="242"/>
      <c r="M183" s="242"/>
      <c r="N183" s="242"/>
      <c r="O183" s="242"/>
      <c r="P183" s="242"/>
      <c r="Q183" s="242"/>
      <c r="R183" s="242"/>
      <c r="S183" s="242"/>
      <c r="T183" s="251"/>
      <c r="U183" s="262"/>
      <c r="V183" s="225">
        <f t="shared" si="8"/>
        <v>0</v>
      </c>
      <c r="W183" s="231">
        <f t="shared" si="9"/>
        <v>0</v>
      </c>
      <c r="X183" s="225">
        <f>U183*C4</f>
        <v>0</v>
      </c>
      <c r="Y183" s="225">
        <f t="shared" si="10"/>
        <v>0</v>
      </c>
      <c r="Z183" s="234">
        <f t="shared" si="11"/>
        <v>0</v>
      </c>
      <c r="AA183" s="234"/>
    </row>
    <row r="184" spans="1:27" hidden="1" x14ac:dyDescent="0.25">
      <c r="B184" s="182" t="s">
        <v>35</v>
      </c>
      <c r="F184" s="71"/>
      <c r="I184" s="48"/>
      <c r="K184" s="242"/>
      <c r="L184" s="242"/>
      <c r="M184" s="242"/>
      <c r="N184" s="242"/>
      <c r="O184" s="242"/>
      <c r="P184" s="242"/>
      <c r="Q184" s="242"/>
      <c r="R184" s="242"/>
      <c r="S184" s="242"/>
      <c r="T184" s="251"/>
      <c r="U184" s="257"/>
      <c r="V184" s="225"/>
      <c r="W184" s="231"/>
      <c r="X184" s="225"/>
      <c r="Y184" s="225"/>
      <c r="Z184" s="234"/>
      <c r="AA184" s="234"/>
    </row>
    <row r="185" spans="1:27" hidden="1" x14ac:dyDescent="0.25">
      <c r="B185" s="137" t="s">
        <v>36</v>
      </c>
      <c r="E185" s="160"/>
      <c r="F185" s="158"/>
      <c r="G185" s="160"/>
      <c r="H185" s="164"/>
      <c r="I185" s="48">
        <f>G185*H185</f>
        <v>0</v>
      </c>
      <c r="J185" s="49">
        <f>I185*C4</f>
        <v>0</v>
      </c>
      <c r="K185" s="242"/>
      <c r="L185" s="242"/>
      <c r="M185" s="242"/>
      <c r="N185" s="242"/>
      <c r="O185" s="242"/>
      <c r="P185" s="242"/>
      <c r="Q185" s="242"/>
      <c r="R185" s="242"/>
      <c r="S185" s="242"/>
      <c r="T185" s="251"/>
      <c r="U185" s="262"/>
      <c r="V185" s="225">
        <f t="shared" si="8"/>
        <v>0</v>
      </c>
      <c r="W185" s="231">
        <f t="shared" si="9"/>
        <v>0</v>
      </c>
      <c r="X185" s="225">
        <f>U185*C4</f>
        <v>0</v>
      </c>
      <c r="Y185" s="225">
        <f t="shared" si="10"/>
        <v>0</v>
      </c>
      <c r="Z185" s="234">
        <f t="shared" si="11"/>
        <v>0</v>
      </c>
      <c r="AA185" s="234"/>
    </row>
    <row r="186" spans="1:27" hidden="1" x14ac:dyDescent="0.25">
      <c r="B186" s="137" t="s">
        <v>37</v>
      </c>
      <c r="E186" s="160"/>
      <c r="F186" s="158"/>
      <c r="G186" s="160"/>
      <c r="H186" s="164"/>
      <c r="I186" s="48">
        <f>G186*H186</f>
        <v>0</v>
      </c>
      <c r="J186" s="49">
        <f>I186*C4</f>
        <v>0</v>
      </c>
      <c r="K186" s="242"/>
      <c r="L186" s="242"/>
      <c r="M186" s="242"/>
      <c r="N186" s="242"/>
      <c r="O186" s="242"/>
      <c r="P186" s="242"/>
      <c r="Q186" s="242"/>
      <c r="R186" s="242"/>
      <c r="S186" s="242"/>
      <c r="T186" s="251"/>
      <c r="U186" s="262"/>
      <c r="V186" s="225">
        <f t="shared" si="8"/>
        <v>0</v>
      </c>
      <c r="W186" s="231">
        <f t="shared" si="9"/>
        <v>0</v>
      </c>
      <c r="X186" s="225">
        <f>U186*C4</f>
        <v>0</v>
      </c>
      <c r="Y186" s="225">
        <f t="shared" si="10"/>
        <v>0</v>
      </c>
      <c r="Z186" s="234">
        <f t="shared" si="11"/>
        <v>0</v>
      </c>
      <c r="AA186" s="234"/>
    </row>
    <row r="187" spans="1:27" hidden="1" x14ac:dyDescent="0.25">
      <c r="B187" s="137" t="s">
        <v>38</v>
      </c>
      <c r="E187" s="160"/>
      <c r="F187" s="158"/>
      <c r="G187" s="160"/>
      <c r="H187" s="164"/>
      <c r="I187" s="48">
        <f>G187*H187</f>
        <v>0</v>
      </c>
      <c r="J187" s="49">
        <f>I187*C4</f>
        <v>0</v>
      </c>
      <c r="K187" s="242"/>
      <c r="L187" s="242"/>
      <c r="M187" s="242"/>
      <c r="N187" s="242"/>
      <c r="O187" s="242"/>
      <c r="P187" s="242"/>
      <c r="Q187" s="242"/>
      <c r="R187" s="242"/>
      <c r="S187" s="242"/>
      <c r="T187" s="251"/>
      <c r="U187" s="262"/>
      <c r="V187" s="225">
        <f t="shared" si="8"/>
        <v>0</v>
      </c>
      <c r="W187" s="231">
        <f t="shared" si="9"/>
        <v>0</v>
      </c>
      <c r="X187" s="225">
        <f>U187*C4</f>
        <v>0</v>
      </c>
      <c r="Y187" s="225">
        <f t="shared" si="10"/>
        <v>0</v>
      </c>
      <c r="Z187" s="234">
        <f t="shared" si="11"/>
        <v>0</v>
      </c>
      <c r="AA187" s="234"/>
    </row>
    <row r="188" spans="1:27" hidden="1" x14ac:dyDescent="0.25">
      <c r="B188" s="182" t="s">
        <v>39</v>
      </c>
      <c r="F188" s="71"/>
      <c r="I188" s="48"/>
      <c r="K188" s="242"/>
      <c r="L188" s="242"/>
      <c r="M188" s="242"/>
      <c r="N188" s="242"/>
      <c r="O188" s="242"/>
      <c r="P188" s="242"/>
      <c r="Q188" s="242"/>
      <c r="R188" s="242"/>
      <c r="S188" s="242"/>
      <c r="T188" s="251"/>
      <c r="U188" s="257"/>
      <c r="V188" s="225"/>
      <c r="W188" s="231"/>
      <c r="X188" s="225"/>
      <c r="Y188" s="225"/>
      <c r="Z188" s="234"/>
      <c r="AA188" s="234"/>
    </row>
    <row r="189" spans="1:27" hidden="1" x14ac:dyDescent="0.25">
      <c r="B189" s="137" t="s">
        <v>40</v>
      </c>
      <c r="E189" s="160"/>
      <c r="F189" s="158"/>
      <c r="G189" s="160"/>
      <c r="H189" s="164"/>
      <c r="I189" s="48">
        <f>G189*H189</f>
        <v>0</v>
      </c>
      <c r="J189" s="49">
        <f>I189*C4</f>
        <v>0</v>
      </c>
      <c r="K189" s="242"/>
      <c r="L189" s="242"/>
      <c r="M189" s="242"/>
      <c r="N189" s="242"/>
      <c r="O189" s="242"/>
      <c r="P189" s="242"/>
      <c r="Q189" s="242"/>
      <c r="R189" s="242"/>
      <c r="S189" s="242"/>
      <c r="T189" s="251"/>
      <c r="U189" s="262"/>
      <c r="V189" s="225">
        <f t="shared" si="8"/>
        <v>0</v>
      </c>
      <c r="W189" s="231">
        <f t="shared" si="9"/>
        <v>0</v>
      </c>
      <c r="X189" s="225">
        <f>U189*C4</f>
        <v>0</v>
      </c>
      <c r="Y189" s="225">
        <f t="shared" si="10"/>
        <v>0</v>
      </c>
      <c r="Z189" s="234">
        <f t="shared" si="11"/>
        <v>0</v>
      </c>
      <c r="AA189" s="234"/>
    </row>
    <row r="190" spans="1:27" hidden="1" x14ac:dyDescent="0.25">
      <c r="B190" s="182" t="s">
        <v>41</v>
      </c>
      <c r="E190" s="49"/>
      <c r="F190" s="49"/>
      <c r="G190" s="49"/>
      <c r="H190" s="49"/>
      <c r="I190" s="168"/>
      <c r="K190" s="242"/>
      <c r="L190" s="242"/>
      <c r="M190" s="242"/>
      <c r="N190" s="242"/>
      <c r="O190" s="242"/>
      <c r="P190" s="242"/>
      <c r="Q190" s="242"/>
      <c r="R190" s="242"/>
      <c r="S190" s="242"/>
      <c r="T190" s="251"/>
      <c r="U190" s="257"/>
      <c r="V190" s="225"/>
      <c r="W190" s="231"/>
      <c r="X190" s="225"/>
      <c r="Y190" s="225"/>
      <c r="Z190" s="234"/>
      <c r="AA190" s="234"/>
    </row>
    <row r="191" spans="1:27" hidden="1" x14ac:dyDescent="0.25">
      <c r="B191" s="137" t="s">
        <v>42</v>
      </c>
      <c r="E191" s="160"/>
      <c r="F191" s="158"/>
      <c r="G191" s="160"/>
      <c r="H191" s="164"/>
      <c r="I191" s="48">
        <f>G191*H191</f>
        <v>0</v>
      </c>
      <c r="J191" s="49">
        <f>I191*C4</f>
        <v>0</v>
      </c>
      <c r="K191" s="242"/>
      <c r="L191" s="242"/>
      <c r="M191" s="242"/>
      <c r="N191" s="242"/>
      <c r="O191" s="242"/>
      <c r="P191" s="242"/>
      <c r="Q191" s="242"/>
      <c r="R191" s="242"/>
      <c r="S191" s="242"/>
      <c r="T191" s="251"/>
      <c r="U191" s="262"/>
      <c r="V191" s="225">
        <f t="shared" si="8"/>
        <v>0</v>
      </c>
      <c r="W191" s="231">
        <f t="shared" si="9"/>
        <v>0</v>
      </c>
      <c r="X191" s="225">
        <f>U191*C4</f>
        <v>0</v>
      </c>
      <c r="Y191" s="225">
        <f t="shared" si="10"/>
        <v>0</v>
      </c>
      <c r="Z191" s="234">
        <f t="shared" si="11"/>
        <v>0</v>
      </c>
      <c r="AA191" s="234"/>
    </row>
    <row r="192" spans="1:27" x14ac:dyDescent="0.25">
      <c r="B192" s="149"/>
      <c r="I192" s="48"/>
      <c r="K192" s="242"/>
      <c r="L192" s="242"/>
      <c r="M192" s="242"/>
      <c r="N192" s="242"/>
      <c r="O192" s="242"/>
      <c r="P192" s="242"/>
      <c r="Q192" s="242"/>
      <c r="R192" s="242"/>
      <c r="S192" s="242"/>
      <c r="T192" s="251"/>
      <c r="U192" s="257"/>
      <c r="V192" s="225"/>
      <c r="W192" s="231"/>
      <c r="X192" s="225"/>
      <c r="Y192" s="225"/>
      <c r="Z192" s="234"/>
      <c r="AA192" s="234"/>
    </row>
    <row r="193" spans="1:28" x14ac:dyDescent="0.25">
      <c r="A193" s="177"/>
      <c r="B193" s="177" t="s">
        <v>58</v>
      </c>
      <c r="C193" s="179"/>
      <c r="D193" s="178"/>
      <c r="E193" s="178"/>
      <c r="F193" s="178"/>
      <c r="G193" s="178"/>
      <c r="H193" s="180"/>
      <c r="I193" s="263">
        <f>'DSPR Jordan'!G264+'DSPR Lebanon'!G252+'FCA Jordan'!G273+'FCA Syria'!G270+'IOCC Jordan'!G267+'IOCC Lebanon'!G265+'IOCC Syria'!G252+'LWF Jordan'!G267+'MECC Lebanon'!G255+'MECC Syria'!G257</f>
        <v>865643.09826679993</v>
      </c>
      <c r="J193" s="319">
        <f>I193*C4</f>
        <v>865643.09826679993</v>
      </c>
      <c r="K193" s="246"/>
      <c r="L193" s="246"/>
      <c r="M193" s="246"/>
      <c r="N193" s="246"/>
      <c r="O193" s="246"/>
      <c r="P193" s="246"/>
      <c r="Q193" s="246"/>
      <c r="R193" s="246"/>
      <c r="S193" s="246"/>
      <c r="T193" s="255"/>
      <c r="U193" s="265">
        <f ca="1">U177+U193</f>
        <v>0</v>
      </c>
      <c r="V193" s="227">
        <f t="shared" ca="1" si="8"/>
        <v>-865643.09826679993</v>
      </c>
      <c r="W193" s="233">
        <f t="shared" ca="1" si="9"/>
        <v>-1</v>
      </c>
      <c r="X193" s="227">
        <f ca="1">U193*C4</f>
        <v>0</v>
      </c>
      <c r="Y193" s="227">
        <f t="shared" ca="1" si="10"/>
        <v>-865643.09826679993</v>
      </c>
      <c r="Z193" s="233">
        <f t="shared" ca="1" si="11"/>
        <v>-1</v>
      </c>
      <c r="AA193" s="233"/>
    </row>
    <row r="194" spans="1:28" x14ac:dyDescent="0.25">
      <c r="A194" s="146"/>
      <c r="B194" s="146"/>
      <c r="C194" s="118"/>
      <c r="D194" s="122"/>
      <c r="E194" s="122"/>
      <c r="F194" s="122"/>
      <c r="G194" s="122"/>
      <c r="H194" s="123"/>
      <c r="I194" s="55">
        <f ca="1">(I193/I196)</f>
        <v>8.5684445880603199E-2</v>
      </c>
      <c r="J194" s="55">
        <f ca="1">(J193/J196)</f>
        <v>8.5684445880603199E-2</v>
      </c>
      <c r="K194" s="247"/>
      <c r="L194" s="248"/>
      <c r="M194" s="248"/>
      <c r="N194" s="248"/>
      <c r="O194" s="248"/>
      <c r="P194" s="248"/>
      <c r="Q194" s="248"/>
      <c r="R194" s="248"/>
      <c r="S194" s="248"/>
      <c r="T194" s="248"/>
      <c r="U194" s="228"/>
      <c r="V194" s="228"/>
      <c r="W194" s="228"/>
      <c r="X194" s="228"/>
      <c r="Y194" s="228"/>
      <c r="Z194" s="183" t="s">
        <v>180</v>
      </c>
      <c r="AA194" s="183"/>
      <c r="AB194" s="53"/>
    </row>
    <row r="195" spans="1:28" x14ac:dyDescent="0.25">
      <c r="I195" s="48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1"/>
      <c r="V195" s="1"/>
      <c r="W195" s="1"/>
      <c r="X195" s="1"/>
      <c r="Y195" s="1"/>
    </row>
    <row r="196" spans="1:28" ht="13.8" thickBot="1" x14ac:dyDescent="0.3">
      <c r="A196" s="275"/>
      <c r="B196" s="275" t="s">
        <v>318</v>
      </c>
      <c r="C196" s="276"/>
      <c r="D196" s="277"/>
      <c r="E196" s="277"/>
      <c r="F196" s="277"/>
      <c r="G196" s="277"/>
      <c r="H196" s="274"/>
      <c r="I196" s="278">
        <f ca="1">I177+I193</f>
        <v>10102686.542117905</v>
      </c>
      <c r="J196" s="278">
        <f ca="1">I196*C4</f>
        <v>10102686.542117905</v>
      </c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175"/>
      <c r="V196" s="175"/>
      <c r="W196" s="175"/>
      <c r="X196" s="175"/>
      <c r="Y196" s="175"/>
    </row>
    <row r="197" spans="1:28" ht="13.8" thickTop="1" x14ac:dyDescent="0.25">
      <c r="I197" s="48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1"/>
      <c r="V197" s="1"/>
      <c r="W197" s="1"/>
      <c r="X197" s="1"/>
      <c r="Y197" s="1"/>
    </row>
    <row r="198" spans="1:28" ht="13.8" thickBot="1" x14ac:dyDescent="0.3">
      <c r="A198" s="184" t="s">
        <v>24</v>
      </c>
      <c r="B198" s="185"/>
      <c r="C198" s="186"/>
      <c r="D198" s="187"/>
      <c r="E198" s="187"/>
      <c r="F198" s="187"/>
      <c r="G198" s="187"/>
      <c r="H198" s="188"/>
      <c r="I198" s="290">
        <f ca="1">SUM(I196-I73)</f>
        <v>9802686.5421179049</v>
      </c>
      <c r="J198" s="290">
        <f ca="1">SUM(J196-J73)</f>
        <v>9802686.5421179049</v>
      </c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29"/>
      <c r="V198" s="229"/>
      <c r="W198" s="229"/>
      <c r="X198" s="229"/>
      <c r="Y198" s="229"/>
    </row>
    <row r="199" spans="1:28" ht="13.8" thickTop="1" x14ac:dyDescent="0.25">
      <c r="I199" s="74"/>
    </row>
    <row r="200" spans="1:28" x14ac:dyDescent="0.25">
      <c r="I200" s="49"/>
    </row>
    <row r="201" spans="1:28" x14ac:dyDescent="0.25">
      <c r="A201" s="70" t="s">
        <v>15</v>
      </c>
      <c r="I201" s="74"/>
      <c r="J201" s="74"/>
    </row>
    <row r="202" spans="1:28" x14ac:dyDescent="0.25">
      <c r="I202" s="74"/>
    </row>
    <row r="203" spans="1:28" ht="15" x14ac:dyDescent="0.4">
      <c r="B203" s="190" t="s">
        <v>16</v>
      </c>
      <c r="D203" s="191" t="s">
        <v>26</v>
      </c>
      <c r="E203" s="191"/>
      <c r="F203" s="191"/>
      <c r="G203" s="191"/>
      <c r="I203" s="393" t="s">
        <v>17</v>
      </c>
      <c r="J203" s="394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</row>
    <row r="204" spans="1:28" ht="15" x14ac:dyDescent="0.4">
      <c r="D204" s="191"/>
      <c r="E204" s="191"/>
      <c r="F204" s="191"/>
      <c r="G204" s="191"/>
      <c r="I204" s="74"/>
    </row>
    <row r="205" spans="1:28" x14ac:dyDescent="0.25">
      <c r="H205" s="74"/>
      <c r="I205" s="74"/>
    </row>
    <row r="206" spans="1:28" x14ac:dyDescent="0.25">
      <c r="H206" s="74"/>
      <c r="I206" s="74"/>
    </row>
    <row r="207" spans="1:28" x14ac:dyDescent="0.25">
      <c r="I207" s="74"/>
    </row>
    <row r="208" spans="1:28" x14ac:dyDescent="0.25">
      <c r="I208" s="74"/>
    </row>
    <row r="209" spans="9:9" x14ac:dyDescent="0.25">
      <c r="I209" s="74"/>
    </row>
    <row r="210" spans="9:9" x14ac:dyDescent="0.25">
      <c r="I210" s="74"/>
    </row>
    <row r="211" spans="9:9" x14ac:dyDescent="0.25">
      <c r="I211" s="74"/>
    </row>
    <row r="212" spans="9:9" x14ac:dyDescent="0.25">
      <c r="I212" s="74"/>
    </row>
    <row r="213" spans="9:9" x14ac:dyDescent="0.25">
      <c r="I213" s="74"/>
    </row>
    <row r="214" spans="9:9" x14ac:dyDescent="0.25">
      <c r="I214" s="74"/>
    </row>
    <row r="215" spans="9:9" x14ac:dyDescent="0.25">
      <c r="I215" s="74"/>
    </row>
    <row r="216" spans="9:9" x14ac:dyDescent="0.25">
      <c r="I216" s="74"/>
    </row>
    <row r="217" spans="9:9" x14ac:dyDescent="0.25">
      <c r="I217" s="74"/>
    </row>
    <row r="218" spans="9:9" x14ac:dyDescent="0.25">
      <c r="I218" s="74"/>
    </row>
    <row r="219" spans="9:9" x14ac:dyDescent="0.25">
      <c r="I219" s="74"/>
    </row>
    <row r="220" spans="9:9" x14ac:dyDescent="0.25">
      <c r="I220" s="74"/>
    </row>
    <row r="221" spans="9:9" x14ac:dyDescent="0.25">
      <c r="I221" s="74"/>
    </row>
    <row r="222" spans="9:9" x14ac:dyDescent="0.25">
      <c r="I222" s="74"/>
    </row>
    <row r="223" spans="9:9" x14ac:dyDescent="0.25">
      <c r="I223" s="74"/>
    </row>
    <row r="224" spans="9:9" x14ac:dyDescent="0.25">
      <c r="I224" s="74"/>
    </row>
    <row r="225" spans="9:9" x14ac:dyDescent="0.25">
      <c r="I225" s="74"/>
    </row>
    <row r="226" spans="9:9" x14ac:dyDescent="0.25">
      <c r="I226" s="74"/>
    </row>
    <row r="227" spans="9:9" x14ac:dyDescent="0.25">
      <c r="I227" s="74"/>
    </row>
    <row r="228" spans="9:9" x14ac:dyDescent="0.25">
      <c r="I228" s="74"/>
    </row>
    <row r="229" spans="9:9" x14ac:dyDescent="0.25">
      <c r="I229" s="74"/>
    </row>
    <row r="230" spans="9:9" x14ac:dyDescent="0.25">
      <c r="I230" s="74"/>
    </row>
    <row r="231" spans="9:9" x14ac:dyDescent="0.25">
      <c r="I231" s="74"/>
    </row>
    <row r="232" spans="9:9" x14ac:dyDescent="0.25">
      <c r="I232" s="74"/>
    </row>
    <row r="233" spans="9:9" x14ac:dyDescent="0.25">
      <c r="I233" s="74"/>
    </row>
    <row r="234" spans="9:9" x14ac:dyDescent="0.25">
      <c r="I234" s="74"/>
    </row>
    <row r="235" spans="9:9" x14ac:dyDescent="0.25">
      <c r="I235" s="74"/>
    </row>
    <row r="236" spans="9:9" x14ac:dyDescent="0.25">
      <c r="I236" s="74"/>
    </row>
    <row r="237" spans="9:9" x14ac:dyDescent="0.25">
      <c r="I237" s="74"/>
    </row>
    <row r="238" spans="9:9" x14ac:dyDescent="0.25">
      <c r="I238" s="74"/>
    </row>
    <row r="239" spans="9:9" x14ac:dyDescent="0.25">
      <c r="I239" s="74"/>
    </row>
    <row r="240" spans="9:9" x14ac:dyDescent="0.25">
      <c r="I240" s="74"/>
    </row>
    <row r="241" spans="9:9" x14ac:dyDescent="0.25">
      <c r="I241" s="74"/>
    </row>
    <row r="242" spans="9:9" x14ac:dyDescent="0.25">
      <c r="I242" s="74"/>
    </row>
    <row r="243" spans="9:9" x14ac:dyDescent="0.25">
      <c r="I243" s="74"/>
    </row>
    <row r="244" spans="9:9" x14ac:dyDescent="0.25">
      <c r="I244" s="74"/>
    </row>
    <row r="245" spans="9:9" x14ac:dyDescent="0.25">
      <c r="I245" s="74"/>
    </row>
    <row r="246" spans="9:9" x14ac:dyDescent="0.25">
      <c r="I246" s="74"/>
    </row>
    <row r="247" spans="9:9" x14ac:dyDescent="0.25">
      <c r="I247" s="74"/>
    </row>
    <row r="248" spans="9:9" x14ac:dyDescent="0.25">
      <c r="I248" s="74"/>
    </row>
    <row r="249" spans="9:9" x14ac:dyDescent="0.25">
      <c r="I249" s="74"/>
    </row>
    <row r="250" spans="9:9" x14ac:dyDescent="0.25">
      <c r="I250" s="74"/>
    </row>
    <row r="251" spans="9:9" x14ac:dyDescent="0.25">
      <c r="I251" s="74"/>
    </row>
    <row r="252" spans="9:9" x14ac:dyDescent="0.25">
      <c r="I252" s="74"/>
    </row>
    <row r="253" spans="9:9" x14ac:dyDescent="0.25">
      <c r="I253" s="74"/>
    </row>
    <row r="254" spans="9:9" x14ac:dyDescent="0.25">
      <c r="I254" s="74"/>
    </row>
    <row r="255" spans="9:9" x14ac:dyDescent="0.25">
      <c r="I255" s="74"/>
    </row>
    <row r="256" spans="9:9" x14ac:dyDescent="0.25">
      <c r="I256" s="74"/>
    </row>
    <row r="257" spans="9:9" x14ac:dyDescent="0.25">
      <c r="I257" s="74"/>
    </row>
    <row r="258" spans="9:9" x14ac:dyDescent="0.25">
      <c r="I258" s="74"/>
    </row>
    <row r="259" spans="9:9" x14ac:dyDescent="0.25">
      <c r="I259" s="74"/>
    </row>
    <row r="260" spans="9:9" x14ac:dyDescent="0.25">
      <c r="I260" s="74"/>
    </row>
    <row r="261" spans="9:9" x14ac:dyDescent="0.25">
      <c r="I261" s="74"/>
    </row>
    <row r="262" spans="9:9" x14ac:dyDescent="0.25">
      <c r="I262" s="74"/>
    </row>
    <row r="263" spans="9:9" x14ac:dyDescent="0.25">
      <c r="I263" s="74"/>
    </row>
    <row r="264" spans="9:9" x14ac:dyDescent="0.25">
      <c r="I264" s="74"/>
    </row>
    <row r="265" spans="9:9" x14ac:dyDescent="0.25">
      <c r="I265" s="74"/>
    </row>
    <row r="266" spans="9:9" x14ac:dyDescent="0.25">
      <c r="I266" s="74"/>
    </row>
    <row r="267" spans="9:9" x14ac:dyDescent="0.25">
      <c r="I267" s="74"/>
    </row>
    <row r="268" spans="9:9" x14ac:dyDescent="0.25">
      <c r="I268" s="74"/>
    </row>
    <row r="269" spans="9:9" x14ac:dyDescent="0.25">
      <c r="I269" s="74"/>
    </row>
    <row r="270" spans="9:9" x14ac:dyDescent="0.25">
      <c r="I270" s="74"/>
    </row>
    <row r="271" spans="9:9" x14ac:dyDescent="0.25">
      <c r="I271" s="74"/>
    </row>
    <row r="272" spans="9:9" x14ac:dyDescent="0.25">
      <c r="I272" s="74"/>
    </row>
    <row r="273" spans="9:9" x14ac:dyDescent="0.25">
      <c r="I273" s="74"/>
    </row>
    <row r="274" spans="9:9" x14ac:dyDescent="0.25">
      <c r="I274" s="74"/>
    </row>
    <row r="275" spans="9:9" x14ac:dyDescent="0.25">
      <c r="I275" s="74"/>
    </row>
    <row r="276" spans="9:9" x14ac:dyDescent="0.25">
      <c r="I276" s="74"/>
    </row>
    <row r="277" spans="9:9" x14ac:dyDescent="0.25">
      <c r="I277" s="74"/>
    </row>
    <row r="278" spans="9:9" x14ac:dyDescent="0.25">
      <c r="I278" s="74"/>
    </row>
    <row r="279" spans="9:9" x14ac:dyDescent="0.25">
      <c r="I279" s="74"/>
    </row>
    <row r="280" spans="9:9" x14ac:dyDescent="0.25">
      <c r="I280" s="74"/>
    </row>
    <row r="281" spans="9:9" x14ac:dyDescent="0.25">
      <c r="I281" s="74"/>
    </row>
    <row r="282" spans="9:9" x14ac:dyDescent="0.25">
      <c r="I282" s="74"/>
    </row>
    <row r="283" spans="9:9" x14ac:dyDescent="0.25">
      <c r="I283" s="74"/>
    </row>
    <row r="284" spans="9:9" x14ac:dyDescent="0.25">
      <c r="I284" s="74"/>
    </row>
    <row r="285" spans="9:9" x14ac:dyDescent="0.25">
      <c r="I285" s="74"/>
    </row>
    <row r="286" spans="9:9" x14ac:dyDescent="0.25">
      <c r="I286" s="74"/>
    </row>
    <row r="287" spans="9:9" x14ac:dyDescent="0.25">
      <c r="I287" s="74"/>
    </row>
    <row r="288" spans="9:9" x14ac:dyDescent="0.25">
      <c r="I288" s="74"/>
    </row>
    <row r="289" spans="9:9" x14ac:dyDescent="0.25">
      <c r="I289" s="74"/>
    </row>
    <row r="290" spans="9:9" x14ac:dyDescent="0.25">
      <c r="I290" s="74"/>
    </row>
    <row r="291" spans="9:9" x14ac:dyDescent="0.25">
      <c r="I291" s="74"/>
    </row>
    <row r="292" spans="9:9" x14ac:dyDescent="0.25">
      <c r="I292" s="74"/>
    </row>
    <row r="293" spans="9:9" x14ac:dyDescent="0.25">
      <c r="I293" s="74"/>
    </row>
    <row r="294" spans="9:9" x14ac:dyDescent="0.25">
      <c r="I294" s="74"/>
    </row>
    <row r="295" spans="9:9" x14ac:dyDescent="0.25">
      <c r="I295" s="74"/>
    </row>
    <row r="296" spans="9:9" x14ac:dyDescent="0.25">
      <c r="I296" s="74"/>
    </row>
    <row r="297" spans="9:9" x14ac:dyDescent="0.25">
      <c r="I297" s="74"/>
    </row>
    <row r="298" spans="9:9" x14ac:dyDescent="0.25">
      <c r="I298" s="74"/>
    </row>
    <row r="299" spans="9:9" x14ac:dyDescent="0.25">
      <c r="I299" s="74"/>
    </row>
    <row r="300" spans="9:9" x14ac:dyDescent="0.25">
      <c r="I300" s="74"/>
    </row>
    <row r="301" spans="9:9" x14ac:dyDescent="0.25">
      <c r="I301" s="74"/>
    </row>
    <row r="302" spans="9:9" x14ac:dyDescent="0.25">
      <c r="I302" s="74"/>
    </row>
    <row r="303" spans="9:9" x14ac:dyDescent="0.25">
      <c r="I303" s="74"/>
    </row>
    <row r="304" spans="9:9" x14ac:dyDescent="0.25">
      <c r="I304" s="74"/>
    </row>
    <row r="305" spans="9:9" x14ac:dyDescent="0.25">
      <c r="I305" s="74"/>
    </row>
    <row r="306" spans="9:9" x14ac:dyDescent="0.25">
      <c r="I306" s="74"/>
    </row>
    <row r="307" spans="9:9" x14ac:dyDescent="0.25">
      <c r="I307" s="74"/>
    </row>
    <row r="308" spans="9:9" x14ac:dyDescent="0.25">
      <c r="I308" s="74"/>
    </row>
    <row r="309" spans="9:9" x14ac:dyDescent="0.25">
      <c r="I309" s="74"/>
    </row>
    <row r="310" spans="9:9" x14ac:dyDescent="0.25">
      <c r="I310" s="74"/>
    </row>
    <row r="311" spans="9:9" x14ac:dyDescent="0.25">
      <c r="I311" s="74"/>
    </row>
    <row r="312" spans="9:9" x14ac:dyDescent="0.25">
      <c r="I312" s="74"/>
    </row>
    <row r="313" spans="9:9" x14ac:dyDescent="0.25">
      <c r="I313" s="74"/>
    </row>
    <row r="314" spans="9:9" x14ac:dyDescent="0.25">
      <c r="I314" s="74"/>
    </row>
    <row r="315" spans="9:9" x14ac:dyDescent="0.25">
      <c r="I315" s="74"/>
    </row>
    <row r="316" spans="9:9" x14ac:dyDescent="0.25">
      <c r="I316" s="74"/>
    </row>
    <row r="317" spans="9:9" x14ac:dyDescent="0.25">
      <c r="I317" s="74"/>
    </row>
    <row r="318" spans="9:9" x14ac:dyDescent="0.25">
      <c r="I318" s="74"/>
    </row>
    <row r="319" spans="9:9" x14ac:dyDescent="0.25">
      <c r="I319" s="74"/>
    </row>
    <row r="320" spans="9:9" x14ac:dyDescent="0.25">
      <c r="I320" s="74"/>
    </row>
    <row r="321" spans="9:9" x14ac:dyDescent="0.25">
      <c r="I321" s="74"/>
    </row>
    <row r="322" spans="9:9" x14ac:dyDescent="0.25">
      <c r="I322" s="74"/>
    </row>
    <row r="323" spans="9:9" x14ac:dyDescent="0.25">
      <c r="I323" s="74"/>
    </row>
    <row r="324" spans="9:9" x14ac:dyDescent="0.25">
      <c r="I324" s="74"/>
    </row>
    <row r="325" spans="9:9" x14ac:dyDescent="0.25">
      <c r="I325" s="74"/>
    </row>
    <row r="326" spans="9:9" x14ac:dyDescent="0.25">
      <c r="I326" s="74"/>
    </row>
    <row r="327" spans="9:9" x14ac:dyDescent="0.25">
      <c r="I327" s="74"/>
    </row>
    <row r="328" spans="9:9" x14ac:dyDescent="0.25">
      <c r="I328" s="74"/>
    </row>
    <row r="329" spans="9:9" x14ac:dyDescent="0.25">
      <c r="I329" s="74"/>
    </row>
    <row r="330" spans="9:9" x14ac:dyDescent="0.25">
      <c r="I330" s="74"/>
    </row>
    <row r="331" spans="9:9" x14ac:dyDescent="0.25">
      <c r="I331" s="74"/>
    </row>
    <row r="332" spans="9:9" x14ac:dyDescent="0.25">
      <c r="I332" s="74"/>
    </row>
    <row r="333" spans="9:9" x14ac:dyDescent="0.25">
      <c r="I333" s="74"/>
    </row>
    <row r="334" spans="9:9" x14ac:dyDescent="0.25">
      <c r="I334" s="74"/>
    </row>
    <row r="335" spans="9:9" x14ac:dyDescent="0.25">
      <c r="I335" s="74"/>
    </row>
    <row r="336" spans="9:9" x14ac:dyDescent="0.25">
      <c r="I336" s="74"/>
    </row>
    <row r="337" spans="9:9" x14ac:dyDescent="0.25">
      <c r="I337" s="74"/>
    </row>
    <row r="338" spans="9:9" x14ac:dyDescent="0.25">
      <c r="I338" s="74"/>
    </row>
    <row r="339" spans="9:9" x14ac:dyDescent="0.25">
      <c r="I339" s="74"/>
    </row>
    <row r="340" spans="9:9" x14ac:dyDescent="0.25">
      <c r="I340" s="74"/>
    </row>
    <row r="341" spans="9:9" x14ac:dyDescent="0.25">
      <c r="I341" s="74"/>
    </row>
    <row r="342" spans="9:9" x14ac:dyDescent="0.25">
      <c r="I342" s="74"/>
    </row>
    <row r="343" spans="9:9" x14ac:dyDescent="0.25">
      <c r="I343" s="74"/>
    </row>
    <row r="344" spans="9:9" x14ac:dyDescent="0.25">
      <c r="I344" s="74"/>
    </row>
    <row r="345" spans="9:9" x14ac:dyDescent="0.25">
      <c r="I345" s="74"/>
    </row>
    <row r="346" spans="9:9" x14ac:dyDescent="0.25">
      <c r="I346" s="74"/>
    </row>
    <row r="347" spans="9:9" x14ac:dyDescent="0.25">
      <c r="I347" s="74"/>
    </row>
    <row r="348" spans="9:9" x14ac:dyDescent="0.25">
      <c r="I348" s="74"/>
    </row>
    <row r="349" spans="9:9" x14ac:dyDescent="0.25">
      <c r="I349" s="74"/>
    </row>
    <row r="350" spans="9:9" x14ac:dyDescent="0.25">
      <c r="I350" s="74"/>
    </row>
    <row r="351" spans="9:9" x14ac:dyDescent="0.25">
      <c r="I351" s="74"/>
    </row>
    <row r="352" spans="9:9" x14ac:dyDescent="0.25">
      <c r="I352" s="74"/>
    </row>
    <row r="353" spans="9:9" x14ac:dyDescent="0.25">
      <c r="I353" s="74"/>
    </row>
    <row r="354" spans="9:9" x14ac:dyDescent="0.25">
      <c r="I354" s="74"/>
    </row>
    <row r="355" spans="9:9" x14ac:dyDescent="0.25">
      <c r="I355" s="74"/>
    </row>
    <row r="356" spans="9:9" x14ac:dyDescent="0.25">
      <c r="I356" s="74"/>
    </row>
    <row r="357" spans="9:9" x14ac:dyDescent="0.25">
      <c r="I357" s="74"/>
    </row>
    <row r="358" spans="9:9" x14ac:dyDescent="0.25">
      <c r="I358" s="74"/>
    </row>
    <row r="359" spans="9:9" x14ac:dyDescent="0.25">
      <c r="I359" s="74"/>
    </row>
    <row r="360" spans="9:9" x14ac:dyDescent="0.25">
      <c r="I360" s="74"/>
    </row>
    <row r="361" spans="9:9" x14ac:dyDescent="0.25">
      <c r="I361" s="74"/>
    </row>
    <row r="362" spans="9:9" x14ac:dyDescent="0.25">
      <c r="I362" s="74"/>
    </row>
    <row r="363" spans="9:9" x14ac:dyDescent="0.25">
      <c r="I363" s="74"/>
    </row>
    <row r="364" spans="9:9" x14ac:dyDescent="0.25">
      <c r="I364" s="74"/>
    </row>
    <row r="365" spans="9:9" x14ac:dyDescent="0.25">
      <c r="I365" s="74"/>
    </row>
    <row r="366" spans="9:9" x14ac:dyDescent="0.25">
      <c r="I366" s="74"/>
    </row>
    <row r="367" spans="9:9" x14ac:dyDescent="0.25">
      <c r="I367" s="74"/>
    </row>
    <row r="368" spans="9:9" x14ac:dyDescent="0.25">
      <c r="I368" s="74"/>
    </row>
    <row r="369" spans="9:9" x14ac:dyDescent="0.25">
      <c r="I369" s="74"/>
    </row>
    <row r="370" spans="9:9" x14ac:dyDescent="0.25">
      <c r="I370" s="74"/>
    </row>
    <row r="371" spans="9:9" x14ac:dyDescent="0.25">
      <c r="I371" s="74"/>
    </row>
    <row r="372" spans="9:9" x14ac:dyDescent="0.25">
      <c r="I372" s="74"/>
    </row>
    <row r="373" spans="9:9" x14ac:dyDescent="0.25">
      <c r="I373" s="74"/>
    </row>
    <row r="374" spans="9:9" x14ac:dyDescent="0.25">
      <c r="I374" s="74"/>
    </row>
    <row r="375" spans="9:9" x14ac:dyDescent="0.25">
      <c r="I375" s="74"/>
    </row>
    <row r="376" spans="9:9" x14ac:dyDescent="0.25">
      <c r="I376" s="74"/>
    </row>
    <row r="377" spans="9:9" x14ac:dyDescent="0.25">
      <c r="I377" s="74"/>
    </row>
    <row r="378" spans="9:9" x14ac:dyDescent="0.25">
      <c r="I378" s="74"/>
    </row>
    <row r="379" spans="9:9" x14ac:dyDescent="0.25">
      <c r="I379" s="74"/>
    </row>
    <row r="380" spans="9:9" x14ac:dyDescent="0.25">
      <c r="I380" s="74"/>
    </row>
    <row r="381" spans="9:9" x14ac:dyDescent="0.25">
      <c r="I381" s="74"/>
    </row>
    <row r="382" spans="9:9" x14ac:dyDescent="0.25">
      <c r="I382" s="74"/>
    </row>
    <row r="383" spans="9:9" x14ac:dyDescent="0.25">
      <c r="I383" s="74"/>
    </row>
    <row r="384" spans="9:9" x14ac:dyDescent="0.25">
      <c r="I384" s="74"/>
    </row>
    <row r="385" spans="9:9" x14ac:dyDescent="0.25">
      <c r="I385" s="74"/>
    </row>
    <row r="386" spans="9:9" x14ac:dyDescent="0.25">
      <c r="I386" s="74"/>
    </row>
    <row r="387" spans="9:9" x14ac:dyDescent="0.25">
      <c r="I387" s="74"/>
    </row>
    <row r="388" spans="9:9" x14ac:dyDescent="0.25">
      <c r="I388" s="74"/>
    </row>
    <row r="389" spans="9:9" x14ac:dyDescent="0.25">
      <c r="I389" s="74"/>
    </row>
    <row r="390" spans="9:9" x14ac:dyDescent="0.25">
      <c r="I390" s="74"/>
    </row>
    <row r="391" spans="9:9" x14ac:dyDescent="0.25">
      <c r="I391" s="74"/>
    </row>
    <row r="392" spans="9:9" x14ac:dyDescent="0.25">
      <c r="I392" s="74"/>
    </row>
    <row r="393" spans="9:9" x14ac:dyDescent="0.25">
      <c r="I393" s="74"/>
    </row>
    <row r="394" spans="9:9" x14ac:dyDescent="0.25">
      <c r="I394" s="74"/>
    </row>
    <row r="395" spans="9:9" x14ac:dyDescent="0.25">
      <c r="I395" s="74"/>
    </row>
    <row r="396" spans="9:9" x14ac:dyDescent="0.25">
      <c r="I396" s="74"/>
    </row>
    <row r="397" spans="9:9" x14ac:dyDescent="0.25">
      <c r="I397" s="74"/>
    </row>
    <row r="398" spans="9:9" x14ac:dyDescent="0.25">
      <c r="I398" s="74"/>
    </row>
    <row r="399" spans="9:9" x14ac:dyDescent="0.25">
      <c r="I399" s="74"/>
    </row>
    <row r="400" spans="9:9" x14ac:dyDescent="0.25">
      <c r="I400" s="74"/>
    </row>
    <row r="401" spans="9:9" x14ac:dyDescent="0.25">
      <c r="I401" s="74"/>
    </row>
    <row r="402" spans="9:9" x14ac:dyDescent="0.25">
      <c r="I402" s="74"/>
    </row>
    <row r="403" spans="9:9" x14ac:dyDescent="0.25">
      <c r="I403" s="74"/>
    </row>
    <row r="404" spans="9:9" x14ac:dyDescent="0.25">
      <c r="I404" s="74"/>
    </row>
    <row r="405" spans="9:9" x14ac:dyDescent="0.25">
      <c r="I405" s="74"/>
    </row>
    <row r="406" spans="9:9" x14ac:dyDescent="0.25">
      <c r="I406" s="74"/>
    </row>
    <row r="407" spans="9:9" x14ac:dyDescent="0.25">
      <c r="I407" s="74"/>
    </row>
    <row r="408" spans="9:9" x14ac:dyDescent="0.25">
      <c r="I408" s="74"/>
    </row>
    <row r="409" spans="9:9" x14ac:dyDescent="0.25">
      <c r="I409" s="74"/>
    </row>
    <row r="410" spans="9:9" x14ac:dyDescent="0.25">
      <c r="I410" s="74"/>
    </row>
    <row r="411" spans="9:9" x14ac:dyDescent="0.25">
      <c r="I411" s="74"/>
    </row>
    <row r="412" spans="9:9" x14ac:dyDescent="0.25">
      <c r="I412" s="74"/>
    </row>
    <row r="413" spans="9:9" x14ac:dyDescent="0.25">
      <c r="I413" s="74"/>
    </row>
    <row r="414" spans="9:9" x14ac:dyDescent="0.25">
      <c r="I414" s="74"/>
    </row>
    <row r="415" spans="9:9" x14ac:dyDescent="0.25">
      <c r="I415" s="74"/>
    </row>
    <row r="416" spans="9:9" x14ac:dyDescent="0.25">
      <c r="I416" s="74"/>
    </row>
    <row r="417" spans="9:9" x14ac:dyDescent="0.25">
      <c r="I417" s="74"/>
    </row>
    <row r="418" spans="9:9" x14ac:dyDescent="0.25">
      <c r="I418" s="74"/>
    </row>
    <row r="419" spans="9:9" x14ac:dyDescent="0.25">
      <c r="I419" s="74"/>
    </row>
    <row r="420" spans="9:9" x14ac:dyDescent="0.25">
      <c r="I420" s="74"/>
    </row>
    <row r="421" spans="9:9" x14ac:dyDescent="0.25">
      <c r="I421" s="74"/>
    </row>
    <row r="422" spans="9:9" x14ac:dyDescent="0.25">
      <c r="I422" s="74"/>
    </row>
    <row r="423" spans="9:9" x14ac:dyDescent="0.25">
      <c r="I423" s="74"/>
    </row>
    <row r="424" spans="9:9" x14ac:dyDescent="0.25">
      <c r="I424" s="74"/>
    </row>
    <row r="425" spans="9:9" x14ac:dyDescent="0.25">
      <c r="I425" s="74"/>
    </row>
    <row r="426" spans="9:9" x14ac:dyDescent="0.25">
      <c r="I426" s="74"/>
    </row>
    <row r="427" spans="9:9" x14ac:dyDescent="0.25">
      <c r="I427" s="74"/>
    </row>
    <row r="428" spans="9:9" x14ac:dyDescent="0.25">
      <c r="I428" s="74"/>
    </row>
    <row r="429" spans="9:9" x14ac:dyDescent="0.25">
      <c r="I429" s="74"/>
    </row>
    <row r="430" spans="9:9" x14ac:dyDescent="0.25">
      <c r="I430" s="74"/>
    </row>
    <row r="431" spans="9:9" x14ac:dyDescent="0.25">
      <c r="I431" s="74"/>
    </row>
    <row r="432" spans="9:9" x14ac:dyDescent="0.25">
      <c r="I432" s="74"/>
    </row>
    <row r="433" spans="9:9" x14ac:dyDescent="0.25">
      <c r="I433" s="74"/>
    </row>
    <row r="434" spans="9:9" x14ac:dyDescent="0.25">
      <c r="I434" s="74"/>
    </row>
    <row r="435" spans="9:9" x14ac:dyDescent="0.25">
      <c r="I435" s="74"/>
    </row>
    <row r="436" spans="9:9" x14ac:dyDescent="0.25">
      <c r="I436" s="74"/>
    </row>
    <row r="437" spans="9:9" x14ac:dyDescent="0.25">
      <c r="I437" s="74"/>
    </row>
    <row r="438" spans="9:9" x14ac:dyDescent="0.25">
      <c r="I438" s="74"/>
    </row>
    <row r="439" spans="9:9" x14ac:dyDescent="0.25">
      <c r="I439" s="74"/>
    </row>
    <row r="440" spans="9:9" x14ac:dyDescent="0.25">
      <c r="I440" s="74"/>
    </row>
    <row r="441" spans="9:9" x14ac:dyDescent="0.25">
      <c r="I441" s="74"/>
    </row>
    <row r="442" spans="9:9" x14ac:dyDescent="0.25">
      <c r="I442" s="74"/>
    </row>
    <row r="443" spans="9:9" x14ac:dyDescent="0.25">
      <c r="I443" s="74"/>
    </row>
    <row r="444" spans="9:9" x14ac:dyDescent="0.25">
      <c r="I444" s="74"/>
    </row>
    <row r="445" spans="9:9" x14ac:dyDescent="0.25">
      <c r="I445" s="74"/>
    </row>
    <row r="446" spans="9:9" x14ac:dyDescent="0.25">
      <c r="I446" s="74"/>
    </row>
    <row r="447" spans="9:9" x14ac:dyDescent="0.25">
      <c r="I447" s="74"/>
    </row>
    <row r="448" spans="9:9" x14ac:dyDescent="0.25">
      <c r="I448" s="74"/>
    </row>
    <row r="449" spans="9:9" x14ac:dyDescent="0.25">
      <c r="I449" s="74"/>
    </row>
    <row r="450" spans="9:9" x14ac:dyDescent="0.25">
      <c r="I450" s="74"/>
    </row>
    <row r="451" spans="9:9" x14ac:dyDescent="0.25">
      <c r="I451" s="74"/>
    </row>
    <row r="452" spans="9:9" x14ac:dyDescent="0.25">
      <c r="I452" s="74"/>
    </row>
    <row r="453" spans="9:9" x14ac:dyDescent="0.25">
      <c r="I453" s="74"/>
    </row>
    <row r="454" spans="9:9" x14ac:dyDescent="0.25">
      <c r="I454" s="74"/>
    </row>
    <row r="455" spans="9:9" x14ac:dyDescent="0.25">
      <c r="I455" s="74"/>
    </row>
    <row r="456" spans="9:9" x14ac:dyDescent="0.25">
      <c r="I456" s="74"/>
    </row>
    <row r="457" spans="9:9" x14ac:dyDescent="0.25">
      <c r="I457" s="74"/>
    </row>
    <row r="458" spans="9:9" x14ac:dyDescent="0.25">
      <c r="I458" s="74"/>
    </row>
    <row r="459" spans="9:9" x14ac:dyDescent="0.25">
      <c r="I459" s="74"/>
    </row>
    <row r="460" spans="9:9" x14ac:dyDescent="0.25">
      <c r="I460" s="74"/>
    </row>
    <row r="461" spans="9:9" x14ac:dyDescent="0.25">
      <c r="I461" s="74"/>
    </row>
    <row r="462" spans="9:9" x14ac:dyDescent="0.25">
      <c r="I462" s="74"/>
    </row>
    <row r="463" spans="9:9" x14ac:dyDescent="0.25">
      <c r="I463" s="74"/>
    </row>
    <row r="464" spans="9:9" x14ac:dyDescent="0.25">
      <c r="I464" s="74"/>
    </row>
    <row r="465" spans="9:9" x14ac:dyDescent="0.25">
      <c r="I465" s="74"/>
    </row>
    <row r="466" spans="9:9" x14ac:dyDescent="0.25">
      <c r="I466" s="74"/>
    </row>
    <row r="467" spans="9:9" x14ac:dyDescent="0.25">
      <c r="I467" s="74"/>
    </row>
    <row r="468" spans="9:9" x14ac:dyDescent="0.25">
      <c r="I468" s="74"/>
    </row>
    <row r="469" spans="9:9" x14ac:dyDescent="0.25">
      <c r="I469" s="74"/>
    </row>
    <row r="470" spans="9:9" x14ac:dyDescent="0.25">
      <c r="I470" s="74"/>
    </row>
    <row r="471" spans="9:9" x14ac:dyDescent="0.25">
      <c r="I471" s="74"/>
    </row>
    <row r="472" spans="9:9" x14ac:dyDescent="0.25">
      <c r="I472" s="74"/>
    </row>
    <row r="473" spans="9:9" x14ac:dyDescent="0.25">
      <c r="I473" s="74"/>
    </row>
    <row r="474" spans="9:9" x14ac:dyDescent="0.25">
      <c r="I474" s="74"/>
    </row>
    <row r="475" spans="9:9" x14ac:dyDescent="0.25">
      <c r="I475" s="74"/>
    </row>
    <row r="476" spans="9:9" x14ac:dyDescent="0.25">
      <c r="I476" s="74"/>
    </row>
    <row r="477" spans="9:9" x14ac:dyDescent="0.25">
      <c r="I477" s="74"/>
    </row>
    <row r="478" spans="9:9" x14ac:dyDescent="0.25">
      <c r="I478" s="74"/>
    </row>
    <row r="479" spans="9:9" x14ac:dyDescent="0.25">
      <c r="I479" s="74"/>
    </row>
    <row r="480" spans="9:9" x14ac:dyDescent="0.25">
      <c r="I480" s="74"/>
    </row>
    <row r="481" spans="9:9" x14ac:dyDescent="0.25">
      <c r="I481" s="74"/>
    </row>
    <row r="482" spans="9:9" x14ac:dyDescent="0.25">
      <c r="I482" s="74"/>
    </row>
    <row r="483" spans="9:9" x14ac:dyDescent="0.25">
      <c r="I483" s="74"/>
    </row>
    <row r="484" spans="9:9" x14ac:dyDescent="0.25">
      <c r="I484" s="74"/>
    </row>
    <row r="485" spans="9:9" x14ac:dyDescent="0.25">
      <c r="I485" s="74"/>
    </row>
    <row r="486" spans="9:9" x14ac:dyDescent="0.25">
      <c r="I486" s="74"/>
    </row>
    <row r="487" spans="9:9" x14ac:dyDescent="0.25">
      <c r="I487" s="74"/>
    </row>
    <row r="488" spans="9:9" x14ac:dyDescent="0.25">
      <c r="I488" s="74"/>
    </row>
    <row r="489" spans="9:9" x14ac:dyDescent="0.25">
      <c r="I489" s="74"/>
    </row>
    <row r="490" spans="9:9" x14ac:dyDescent="0.25">
      <c r="I490" s="74"/>
    </row>
    <row r="491" spans="9:9" x14ac:dyDescent="0.25">
      <c r="I491" s="74"/>
    </row>
    <row r="492" spans="9:9" x14ac:dyDescent="0.25">
      <c r="I492" s="74"/>
    </row>
    <row r="493" spans="9:9" x14ac:dyDescent="0.25">
      <c r="I493" s="74"/>
    </row>
    <row r="494" spans="9:9" x14ac:dyDescent="0.25">
      <c r="I494" s="74"/>
    </row>
    <row r="495" spans="9:9" x14ac:dyDescent="0.25">
      <c r="I495" s="74"/>
    </row>
    <row r="496" spans="9:9" x14ac:dyDescent="0.25">
      <c r="I496" s="74"/>
    </row>
    <row r="497" spans="9:9" x14ac:dyDescent="0.25">
      <c r="I497" s="74"/>
    </row>
    <row r="498" spans="9:9" x14ac:dyDescent="0.25">
      <c r="I498" s="74"/>
    </row>
    <row r="499" spans="9:9" x14ac:dyDescent="0.25">
      <c r="I499" s="74"/>
    </row>
    <row r="500" spans="9:9" x14ac:dyDescent="0.25">
      <c r="I500" s="74"/>
    </row>
    <row r="501" spans="9:9" x14ac:dyDescent="0.25">
      <c r="I501" s="74"/>
    </row>
    <row r="502" spans="9:9" x14ac:dyDescent="0.25">
      <c r="I502" s="74"/>
    </row>
    <row r="503" spans="9:9" x14ac:dyDescent="0.25">
      <c r="I503" s="74"/>
    </row>
    <row r="504" spans="9:9" x14ac:dyDescent="0.25">
      <c r="I504" s="74"/>
    </row>
    <row r="505" spans="9:9" x14ac:dyDescent="0.25">
      <c r="I505" s="74"/>
    </row>
    <row r="506" spans="9:9" x14ac:dyDescent="0.25">
      <c r="I506" s="74"/>
    </row>
    <row r="507" spans="9:9" x14ac:dyDescent="0.25">
      <c r="I507" s="74"/>
    </row>
    <row r="508" spans="9:9" x14ac:dyDescent="0.25">
      <c r="I508" s="74"/>
    </row>
    <row r="509" spans="9:9" x14ac:dyDescent="0.25">
      <c r="I509" s="74"/>
    </row>
    <row r="510" spans="9:9" x14ac:dyDescent="0.25">
      <c r="I510" s="74"/>
    </row>
    <row r="511" spans="9:9" x14ac:dyDescent="0.25">
      <c r="I511" s="74"/>
    </row>
    <row r="512" spans="9:9" x14ac:dyDescent="0.25">
      <c r="I512" s="74"/>
    </row>
    <row r="513" spans="9:9" x14ac:dyDescent="0.25">
      <c r="I513" s="74"/>
    </row>
    <row r="514" spans="9:9" x14ac:dyDescent="0.25">
      <c r="I514" s="74"/>
    </row>
    <row r="515" spans="9:9" x14ac:dyDescent="0.25">
      <c r="I515" s="74"/>
    </row>
    <row r="516" spans="9:9" x14ac:dyDescent="0.25">
      <c r="I516" s="74"/>
    </row>
    <row r="517" spans="9:9" x14ac:dyDescent="0.25">
      <c r="I517" s="74"/>
    </row>
    <row r="518" spans="9:9" x14ac:dyDescent="0.25">
      <c r="I518" s="74"/>
    </row>
    <row r="519" spans="9:9" x14ac:dyDescent="0.25">
      <c r="I519" s="74"/>
    </row>
    <row r="520" spans="9:9" x14ac:dyDescent="0.25">
      <c r="I520" s="74"/>
    </row>
    <row r="521" spans="9:9" x14ac:dyDescent="0.25">
      <c r="I521" s="74"/>
    </row>
    <row r="522" spans="9:9" x14ac:dyDescent="0.25">
      <c r="I522" s="74"/>
    </row>
    <row r="523" spans="9:9" x14ac:dyDescent="0.25">
      <c r="I523" s="74"/>
    </row>
    <row r="524" spans="9:9" x14ac:dyDescent="0.25">
      <c r="I524" s="74"/>
    </row>
    <row r="525" spans="9:9" x14ac:dyDescent="0.25">
      <c r="I525" s="74"/>
    </row>
    <row r="526" spans="9:9" x14ac:dyDescent="0.25">
      <c r="I526" s="74"/>
    </row>
    <row r="527" spans="9:9" x14ac:dyDescent="0.25">
      <c r="I527" s="74"/>
    </row>
    <row r="528" spans="9:9" x14ac:dyDescent="0.25">
      <c r="I528" s="74"/>
    </row>
    <row r="529" spans="9:9" x14ac:dyDescent="0.25">
      <c r="I529" s="74"/>
    </row>
    <row r="530" spans="9:9" x14ac:dyDescent="0.25">
      <c r="I530" s="74"/>
    </row>
    <row r="531" spans="9:9" x14ac:dyDescent="0.25">
      <c r="I531" s="74"/>
    </row>
    <row r="532" spans="9:9" x14ac:dyDescent="0.25">
      <c r="I532" s="74"/>
    </row>
    <row r="533" spans="9:9" x14ac:dyDescent="0.25">
      <c r="I533" s="74"/>
    </row>
    <row r="534" spans="9:9" x14ac:dyDescent="0.25">
      <c r="I534" s="74"/>
    </row>
    <row r="535" spans="9:9" x14ac:dyDescent="0.25">
      <c r="I535" s="74"/>
    </row>
    <row r="536" spans="9:9" x14ac:dyDescent="0.25">
      <c r="I536" s="74"/>
    </row>
    <row r="537" spans="9:9" x14ac:dyDescent="0.25">
      <c r="I537" s="74"/>
    </row>
    <row r="538" spans="9:9" x14ac:dyDescent="0.25">
      <c r="I538" s="74"/>
    </row>
    <row r="539" spans="9:9" x14ac:dyDescent="0.25">
      <c r="I539" s="74"/>
    </row>
    <row r="540" spans="9:9" x14ac:dyDescent="0.25">
      <c r="I540" s="74"/>
    </row>
    <row r="541" spans="9:9" x14ac:dyDescent="0.25">
      <c r="I541" s="74"/>
    </row>
    <row r="542" spans="9:9" x14ac:dyDescent="0.25">
      <c r="I542" s="74"/>
    </row>
    <row r="543" spans="9:9" x14ac:dyDescent="0.25">
      <c r="I543" s="74"/>
    </row>
    <row r="544" spans="9:9" x14ac:dyDescent="0.25">
      <c r="I544" s="74"/>
    </row>
    <row r="545" spans="9:9" x14ac:dyDescent="0.25">
      <c r="I545" s="74"/>
    </row>
    <row r="546" spans="9:9" x14ac:dyDescent="0.25">
      <c r="I546" s="74"/>
    </row>
    <row r="547" spans="9:9" x14ac:dyDescent="0.25">
      <c r="I547" s="74"/>
    </row>
    <row r="548" spans="9:9" x14ac:dyDescent="0.25">
      <c r="I548" s="74"/>
    </row>
    <row r="549" spans="9:9" x14ac:dyDescent="0.25">
      <c r="I549" s="74"/>
    </row>
    <row r="550" spans="9:9" x14ac:dyDescent="0.25">
      <c r="I550" s="74"/>
    </row>
    <row r="551" spans="9:9" x14ac:dyDescent="0.25">
      <c r="I551" s="74"/>
    </row>
    <row r="552" spans="9:9" x14ac:dyDescent="0.25">
      <c r="I552" s="74"/>
    </row>
    <row r="553" spans="9:9" x14ac:dyDescent="0.25">
      <c r="I553" s="74"/>
    </row>
    <row r="554" spans="9:9" x14ac:dyDescent="0.25">
      <c r="I554" s="74"/>
    </row>
    <row r="555" spans="9:9" x14ac:dyDescent="0.25">
      <c r="I555" s="74"/>
    </row>
    <row r="556" spans="9:9" x14ac:dyDescent="0.25">
      <c r="I556" s="74"/>
    </row>
    <row r="557" spans="9:9" x14ac:dyDescent="0.25">
      <c r="I557" s="74"/>
    </row>
    <row r="558" spans="9:9" x14ac:dyDescent="0.25">
      <c r="I558" s="74"/>
    </row>
    <row r="559" spans="9:9" x14ac:dyDescent="0.25">
      <c r="I559" s="74"/>
    </row>
    <row r="560" spans="9:9" x14ac:dyDescent="0.25">
      <c r="I560" s="74"/>
    </row>
    <row r="561" spans="9:9" x14ac:dyDescent="0.25">
      <c r="I561" s="74"/>
    </row>
    <row r="562" spans="9:9" x14ac:dyDescent="0.25">
      <c r="I562" s="74"/>
    </row>
    <row r="563" spans="9:9" x14ac:dyDescent="0.25">
      <c r="I563" s="74"/>
    </row>
    <row r="564" spans="9:9" x14ac:dyDescent="0.25">
      <c r="I564" s="74"/>
    </row>
    <row r="565" spans="9:9" x14ac:dyDescent="0.25">
      <c r="I565" s="74"/>
    </row>
    <row r="566" spans="9:9" x14ac:dyDescent="0.25">
      <c r="I566" s="74"/>
    </row>
    <row r="567" spans="9:9" x14ac:dyDescent="0.25">
      <c r="I567" s="74"/>
    </row>
    <row r="568" spans="9:9" x14ac:dyDescent="0.25">
      <c r="I568" s="74"/>
    </row>
    <row r="569" spans="9:9" x14ac:dyDescent="0.25">
      <c r="I569" s="74"/>
    </row>
    <row r="570" spans="9:9" x14ac:dyDescent="0.25">
      <c r="I570" s="74"/>
    </row>
    <row r="571" spans="9:9" x14ac:dyDescent="0.25">
      <c r="I571" s="74"/>
    </row>
    <row r="572" spans="9:9" x14ac:dyDescent="0.25">
      <c r="I572" s="74"/>
    </row>
    <row r="573" spans="9:9" x14ac:dyDescent="0.25">
      <c r="I573" s="74"/>
    </row>
    <row r="574" spans="9:9" x14ac:dyDescent="0.25">
      <c r="I574" s="74"/>
    </row>
    <row r="575" spans="9:9" x14ac:dyDescent="0.25">
      <c r="I575" s="74"/>
    </row>
    <row r="576" spans="9:9" x14ac:dyDescent="0.25">
      <c r="I576" s="74"/>
    </row>
    <row r="577" spans="9:9" x14ac:dyDescent="0.25">
      <c r="I577" s="74"/>
    </row>
    <row r="578" spans="9:9" x14ac:dyDescent="0.25">
      <c r="I578" s="74"/>
    </row>
    <row r="579" spans="9:9" x14ac:dyDescent="0.25">
      <c r="I579" s="74"/>
    </row>
    <row r="580" spans="9:9" x14ac:dyDescent="0.25">
      <c r="I580" s="74"/>
    </row>
    <row r="581" spans="9:9" x14ac:dyDescent="0.25">
      <c r="I581" s="74"/>
    </row>
    <row r="582" spans="9:9" x14ac:dyDescent="0.25">
      <c r="I582" s="74"/>
    </row>
    <row r="583" spans="9:9" x14ac:dyDescent="0.25">
      <c r="I583" s="74"/>
    </row>
    <row r="584" spans="9:9" x14ac:dyDescent="0.25">
      <c r="I584" s="74"/>
    </row>
    <row r="585" spans="9:9" x14ac:dyDescent="0.25">
      <c r="I585" s="74"/>
    </row>
    <row r="586" spans="9:9" x14ac:dyDescent="0.25">
      <c r="I586" s="74"/>
    </row>
    <row r="587" spans="9:9" x14ac:dyDescent="0.25">
      <c r="I587" s="74"/>
    </row>
    <row r="588" spans="9:9" x14ac:dyDescent="0.25">
      <c r="I588" s="74"/>
    </row>
    <row r="589" spans="9:9" x14ac:dyDescent="0.25">
      <c r="I589" s="74"/>
    </row>
    <row r="590" spans="9:9" x14ac:dyDescent="0.25">
      <c r="I590" s="74"/>
    </row>
    <row r="591" spans="9:9" x14ac:dyDescent="0.25">
      <c r="I591" s="74"/>
    </row>
    <row r="592" spans="9:9" x14ac:dyDescent="0.25">
      <c r="I592" s="74"/>
    </row>
    <row r="593" spans="9:9" x14ac:dyDescent="0.25">
      <c r="I593" s="74"/>
    </row>
    <row r="594" spans="9:9" x14ac:dyDescent="0.25">
      <c r="I594" s="74"/>
    </row>
    <row r="595" spans="9:9" x14ac:dyDescent="0.25">
      <c r="I595" s="74"/>
    </row>
    <row r="596" spans="9:9" x14ac:dyDescent="0.25">
      <c r="I596" s="74"/>
    </row>
    <row r="597" spans="9:9" x14ac:dyDescent="0.25">
      <c r="I597" s="74"/>
    </row>
    <row r="598" spans="9:9" x14ac:dyDescent="0.25">
      <c r="I598" s="74"/>
    </row>
    <row r="599" spans="9:9" x14ac:dyDescent="0.25">
      <c r="I599" s="74"/>
    </row>
    <row r="600" spans="9:9" x14ac:dyDescent="0.25">
      <c r="I600" s="74"/>
    </row>
    <row r="601" spans="9:9" x14ac:dyDescent="0.25">
      <c r="I601" s="74"/>
    </row>
    <row r="602" spans="9:9" x14ac:dyDescent="0.25">
      <c r="I602" s="74"/>
    </row>
    <row r="603" spans="9:9" x14ac:dyDescent="0.25">
      <c r="I603" s="74"/>
    </row>
    <row r="604" spans="9:9" x14ac:dyDescent="0.25">
      <c r="I604" s="74"/>
    </row>
    <row r="605" spans="9:9" x14ac:dyDescent="0.25">
      <c r="I605" s="74"/>
    </row>
    <row r="606" spans="9:9" x14ac:dyDescent="0.25">
      <c r="I606" s="74"/>
    </row>
    <row r="607" spans="9:9" x14ac:dyDescent="0.25">
      <c r="I607" s="74"/>
    </row>
    <row r="608" spans="9:9" x14ac:dyDescent="0.25">
      <c r="I608" s="74"/>
    </row>
    <row r="609" spans="9:9" x14ac:dyDescent="0.25">
      <c r="I609" s="74"/>
    </row>
    <row r="610" spans="9:9" x14ac:dyDescent="0.25">
      <c r="I610" s="74"/>
    </row>
    <row r="611" spans="9:9" x14ac:dyDescent="0.25">
      <c r="I611" s="74"/>
    </row>
    <row r="612" spans="9:9" x14ac:dyDescent="0.25">
      <c r="I612" s="74"/>
    </row>
    <row r="613" spans="9:9" x14ac:dyDescent="0.25">
      <c r="I613" s="74"/>
    </row>
    <row r="614" spans="9:9" x14ac:dyDescent="0.25">
      <c r="I614" s="74"/>
    </row>
    <row r="615" spans="9:9" x14ac:dyDescent="0.25">
      <c r="I615" s="74"/>
    </row>
    <row r="616" spans="9:9" x14ac:dyDescent="0.25">
      <c r="I616" s="74"/>
    </row>
    <row r="617" spans="9:9" x14ac:dyDescent="0.25">
      <c r="I617" s="74"/>
    </row>
    <row r="618" spans="9:9" x14ac:dyDescent="0.25">
      <c r="I618" s="74"/>
    </row>
    <row r="619" spans="9:9" x14ac:dyDescent="0.25">
      <c r="I619" s="74"/>
    </row>
    <row r="620" spans="9:9" x14ac:dyDescent="0.25">
      <c r="I620" s="74"/>
    </row>
    <row r="621" spans="9:9" x14ac:dyDescent="0.25">
      <c r="I621" s="74"/>
    </row>
    <row r="622" spans="9:9" x14ac:dyDescent="0.25">
      <c r="I622" s="74"/>
    </row>
    <row r="623" spans="9:9" x14ac:dyDescent="0.25">
      <c r="I623" s="74"/>
    </row>
    <row r="624" spans="9:9" x14ac:dyDescent="0.25">
      <c r="I624" s="74"/>
    </row>
    <row r="625" spans="9:9" x14ac:dyDescent="0.25">
      <c r="I625" s="74"/>
    </row>
    <row r="626" spans="9:9" x14ac:dyDescent="0.25">
      <c r="I626" s="74"/>
    </row>
    <row r="627" spans="9:9" x14ac:dyDescent="0.25">
      <c r="I627" s="74"/>
    </row>
    <row r="628" spans="9:9" x14ac:dyDescent="0.25">
      <c r="I628" s="74"/>
    </row>
    <row r="629" spans="9:9" x14ac:dyDescent="0.25">
      <c r="I629" s="74"/>
    </row>
    <row r="630" spans="9:9" x14ac:dyDescent="0.25">
      <c r="I630" s="74"/>
    </row>
    <row r="631" spans="9:9" x14ac:dyDescent="0.25">
      <c r="I631" s="74"/>
    </row>
    <row r="632" spans="9:9" x14ac:dyDescent="0.25">
      <c r="I632" s="74"/>
    </row>
    <row r="633" spans="9:9" x14ac:dyDescent="0.25">
      <c r="I633" s="74"/>
    </row>
    <row r="634" spans="9:9" x14ac:dyDescent="0.25">
      <c r="I634" s="74"/>
    </row>
    <row r="635" spans="9:9" x14ac:dyDescent="0.25">
      <c r="I635" s="74"/>
    </row>
    <row r="636" spans="9:9" x14ac:dyDescent="0.25">
      <c r="I636" s="74"/>
    </row>
    <row r="637" spans="9:9" x14ac:dyDescent="0.25">
      <c r="I637" s="74"/>
    </row>
    <row r="638" spans="9:9" x14ac:dyDescent="0.25">
      <c r="I638" s="74"/>
    </row>
    <row r="639" spans="9:9" x14ac:dyDescent="0.25">
      <c r="I639" s="74"/>
    </row>
    <row r="640" spans="9:9" x14ac:dyDescent="0.25">
      <c r="I640" s="74"/>
    </row>
    <row r="641" spans="9:9" x14ac:dyDescent="0.25">
      <c r="I641" s="74"/>
    </row>
    <row r="642" spans="9:9" x14ac:dyDescent="0.25">
      <c r="I642" s="74"/>
    </row>
    <row r="643" spans="9:9" x14ac:dyDescent="0.25">
      <c r="I643" s="74"/>
    </row>
    <row r="644" spans="9:9" x14ac:dyDescent="0.25">
      <c r="I644" s="74"/>
    </row>
    <row r="645" spans="9:9" x14ac:dyDescent="0.25">
      <c r="I645" s="74"/>
    </row>
    <row r="646" spans="9:9" x14ac:dyDescent="0.25">
      <c r="I646" s="74"/>
    </row>
    <row r="647" spans="9:9" x14ac:dyDescent="0.25">
      <c r="I647" s="74"/>
    </row>
    <row r="648" spans="9:9" x14ac:dyDescent="0.25">
      <c r="I648" s="74"/>
    </row>
    <row r="649" spans="9:9" x14ac:dyDescent="0.25">
      <c r="I649" s="74"/>
    </row>
    <row r="650" spans="9:9" x14ac:dyDescent="0.25">
      <c r="I650" s="74"/>
    </row>
    <row r="651" spans="9:9" x14ac:dyDescent="0.25">
      <c r="I651" s="74"/>
    </row>
    <row r="652" spans="9:9" x14ac:dyDescent="0.25">
      <c r="I652" s="74"/>
    </row>
    <row r="653" spans="9:9" x14ac:dyDescent="0.25">
      <c r="I653" s="74"/>
    </row>
    <row r="654" spans="9:9" x14ac:dyDescent="0.25">
      <c r="I654" s="74"/>
    </row>
    <row r="655" spans="9:9" x14ac:dyDescent="0.25">
      <c r="I655" s="74"/>
    </row>
    <row r="656" spans="9:9" x14ac:dyDescent="0.25">
      <c r="I656" s="74"/>
    </row>
    <row r="657" spans="9:9" x14ac:dyDescent="0.25">
      <c r="I657" s="74"/>
    </row>
    <row r="658" spans="9:9" x14ac:dyDescent="0.25">
      <c r="I658" s="74"/>
    </row>
    <row r="659" spans="9:9" x14ac:dyDescent="0.25">
      <c r="I659" s="74"/>
    </row>
    <row r="660" spans="9:9" x14ac:dyDescent="0.25">
      <c r="I660" s="74"/>
    </row>
    <row r="661" spans="9:9" x14ac:dyDescent="0.25">
      <c r="I661" s="74"/>
    </row>
    <row r="662" spans="9:9" x14ac:dyDescent="0.25">
      <c r="I662" s="74"/>
    </row>
    <row r="663" spans="9:9" x14ac:dyDescent="0.25">
      <c r="I663" s="74"/>
    </row>
    <row r="664" spans="9:9" x14ac:dyDescent="0.25">
      <c r="I664" s="74"/>
    </row>
    <row r="665" spans="9:9" x14ac:dyDescent="0.25">
      <c r="I665" s="74"/>
    </row>
    <row r="666" spans="9:9" x14ac:dyDescent="0.25">
      <c r="I666" s="74"/>
    </row>
    <row r="667" spans="9:9" x14ac:dyDescent="0.25">
      <c r="I667" s="74"/>
    </row>
    <row r="668" spans="9:9" x14ac:dyDescent="0.25">
      <c r="I668" s="74"/>
    </row>
    <row r="669" spans="9:9" x14ac:dyDescent="0.25">
      <c r="I669" s="74"/>
    </row>
    <row r="670" spans="9:9" x14ac:dyDescent="0.25">
      <c r="I670" s="74"/>
    </row>
    <row r="671" spans="9:9" x14ac:dyDescent="0.25">
      <c r="I671" s="74"/>
    </row>
    <row r="672" spans="9:9" x14ac:dyDescent="0.25">
      <c r="I672" s="74"/>
    </row>
    <row r="673" spans="9:9" x14ac:dyDescent="0.25">
      <c r="I673" s="74"/>
    </row>
    <row r="674" spans="9:9" x14ac:dyDescent="0.25">
      <c r="I674" s="74"/>
    </row>
    <row r="675" spans="9:9" x14ac:dyDescent="0.25">
      <c r="I675" s="74"/>
    </row>
    <row r="676" spans="9:9" x14ac:dyDescent="0.25">
      <c r="I676" s="74"/>
    </row>
    <row r="677" spans="9:9" x14ac:dyDescent="0.25">
      <c r="I677" s="74"/>
    </row>
    <row r="678" spans="9:9" x14ac:dyDescent="0.25">
      <c r="I678" s="74"/>
    </row>
    <row r="679" spans="9:9" x14ac:dyDescent="0.25">
      <c r="I679" s="74"/>
    </row>
    <row r="680" spans="9:9" x14ac:dyDescent="0.25">
      <c r="I680" s="74"/>
    </row>
    <row r="681" spans="9:9" x14ac:dyDescent="0.25">
      <c r="I681" s="74"/>
    </row>
    <row r="682" spans="9:9" x14ac:dyDescent="0.25">
      <c r="I682" s="74"/>
    </row>
    <row r="683" spans="9:9" x14ac:dyDescent="0.25">
      <c r="I683" s="74"/>
    </row>
    <row r="684" spans="9:9" x14ac:dyDescent="0.25">
      <c r="I684" s="74"/>
    </row>
    <row r="685" spans="9:9" x14ac:dyDescent="0.25">
      <c r="I685" s="74"/>
    </row>
    <row r="686" spans="9:9" x14ac:dyDescent="0.25">
      <c r="I686" s="74"/>
    </row>
    <row r="687" spans="9:9" x14ac:dyDescent="0.25">
      <c r="I687" s="74"/>
    </row>
    <row r="688" spans="9:9" x14ac:dyDescent="0.25">
      <c r="I688" s="74"/>
    </row>
    <row r="689" spans="9:9" x14ac:dyDescent="0.25">
      <c r="I689" s="74"/>
    </row>
    <row r="690" spans="9:9" x14ac:dyDescent="0.25">
      <c r="I690" s="74"/>
    </row>
    <row r="691" spans="9:9" x14ac:dyDescent="0.25">
      <c r="I691" s="74"/>
    </row>
    <row r="692" spans="9:9" x14ac:dyDescent="0.25">
      <c r="I692" s="74"/>
    </row>
    <row r="693" spans="9:9" x14ac:dyDescent="0.25">
      <c r="I693" s="74"/>
    </row>
    <row r="694" spans="9:9" x14ac:dyDescent="0.25">
      <c r="I694" s="74"/>
    </row>
    <row r="695" spans="9:9" x14ac:dyDescent="0.25">
      <c r="I695" s="74"/>
    </row>
    <row r="696" spans="9:9" x14ac:dyDescent="0.25">
      <c r="I696" s="74"/>
    </row>
    <row r="697" spans="9:9" x14ac:dyDescent="0.25">
      <c r="I697" s="74"/>
    </row>
    <row r="698" spans="9:9" x14ac:dyDescent="0.25">
      <c r="I698" s="74"/>
    </row>
    <row r="699" spans="9:9" x14ac:dyDescent="0.25">
      <c r="I699" s="74"/>
    </row>
    <row r="700" spans="9:9" x14ac:dyDescent="0.25">
      <c r="I700" s="74"/>
    </row>
    <row r="701" spans="9:9" x14ac:dyDescent="0.25">
      <c r="I701" s="74"/>
    </row>
    <row r="702" spans="9:9" x14ac:dyDescent="0.25">
      <c r="I702" s="74"/>
    </row>
    <row r="703" spans="9:9" x14ac:dyDescent="0.25">
      <c r="I703" s="74"/>
    </row>
    <row r="704" spans="9:9" x14ac:dyDescent="0.25">
      <c r="I704" s="74"/>
    </row>
    <row r="705" spans="9:9" x14ac:dyDescent="0.25">
      <c r="I705" s="74"/>
    </row>
    <row r="706" spans="9:9" x14ac:dyDescent="0.25">
      <c r="I706" s="74"/>
    </row>
    <row r="707" spans="9:9" x14ac:dyDescent="0.25">
      <c r="I707" s="74"/>
    </row>
    <row r="708" spans="9:9" x14ac:dyDescent="0.25">
      <c r="I708" s="74"/>
    </row>
    <row r="709" spans="9:9" x14ac:dyDescent="0.25">
      <c r="I709" s="74"/>
    </row>
    <row r="710" spans="9:9" x14ac:dyDescent="0.25">
      <c r="I710" s="74"/>
    </row>
    <row r="711" spans="9:9" x14ac:dyDescent="0.25">
      <c r="I711" s="74"/>
    </row>
    <row r="712" spans="9:9" x14ac:dyDescent="0.25">
      <c r="I712" s="74"/>
    </row>
    <row r="713" spans="9:9" x14ac:dyDescent="0.25">
      <c r="I713" s="74"/>
    </row>
    <row r="714" spans="9:9" x14ac:dyDescent="0.25">
      <c r="I714" s="74"/>
    </row>
    <row r="715" spans="9:9" x14ac:dyDescent="0.25">
      <c r="I715" s="74"/>
    </row>
    <row r="716" spans="9:9" x14ac:dyDescent="0.25">
      <c r="I716" s="74"/>
    </row>
    <row r="717" spans="9:9" x14ac:dyDescent="0.25">
      <c r="I717" s="74"/>
    </row>
    <row r="718" spans="9:9" x14ac:dyDescent="0.25">
      <c r="I718" s="74"/>
    </row>
    <row r="719" spans="9:9" x14ac:dyDescent="0.25">
      <c r="I719" s="74"/>
    </row>
    <row r="720" spans="9:9" x14ac:dyDescent="0.25">
      <c r="I720" s="74"/>
    </row>
    <row r="721" spans="9:9" x14ac:dyDescent="0.25">
      <c r="I721" s="74"/>
    </row>
    <row r="722" spans="9:9" x14ac:dyDescent="0.25">
      <c r="I722" s="74"/>
    </row>
    <row r="723" spans="9:9" x14ac:dyDescent="0.25">
      <c r="I723" s="74"/>
    </row>
    <row r="724" spans="9:9" x14ac:dyDescent="0.25">
      <c r="I724" s="74"/>
    </row>
    <row r="725" spans="9:9" x14ac:dyDescent="0.25">
      <c r="I725" s="74"/>
    </row>
    <row r="726" spans="9:9" x14ac:dyDescent="0.25">
      <c r="I726" s="74"/>
    </row>
    <row r="727" spans="9:9" x14ac:dyDescent="0.25">
      <c r="I727" s="74"/>
    </row>
    <row r="728" spans="9:9" x14ac:dyDescent="0.25">
      <c r="I728" s="74"/>
    </row>
    <row r="729" spans="9:9" x14ac:dyDescent="0.25">
      <c r="I729" s="74"/>
    </row>
    <row r="730" spans="9:9" x14ac:dyDescent="0.25">
      <c r="I730" s="74"/>
    </row>
    <row r="731" spans="9:9" x14ac:dyDescent="0.25">
      <c r="I731" s="74"/>
    </row>
    <row r="732" spans="9:9" x14ac:dyDescent="0.25">
      <c r="I732" s="74"/>
    </row>
    <row r="733" spans="9:9" x14ac:dyDescent="0.25">
      <c r="I733" s="74"/>
    </row>
    <row r="734" spans="9:9" x14ac:dyDescent="0.25">
      <c r="I734" s="74"/>
    </row>
    <row r="735" spans="9:9" x14ac:dyDescent="0.25">
      <c r="I735" s="74"/>
    </row>
    <row r="736" spans="9:9" x14ac:dyDescent="0.25">
      <c r="I736" s="74"/>
    </row>
    <row r="737" spans="9:9" x14ac:dyDescent="0.25">
      <c r="I737" s="74"/>
    </row>
    <row r="738" spans="9:9" x14ac:dyDescent="0.25">
      <c r="I738" s="74"/>
    </row>
    <row r="739" spans="9:9" x14ac:dyDescent="0.25">
      <c r="I739" s="74"/>
    </row>
    <row r="740" spans="9:9" x14ac:dyDescent="0.25">
      <c r="I740" s="74"/>
    </row>
    <row r="741" spans="9:9" x14ac:dyDescent="0.25">
      <c r="I741" s="74"/>
    </row>
    <row r="742" spans="9:9" x14ac:dyDescent="0.25">
      <c r="I742" s="74"/>
    </row>
    <row r="743" spans="9:9" x14ac:dyDescent="0.25">
      <c r="I743" s="74"/>
    </row>
    <row r="744" spans="9:9" x14ac:dyDescent="0.25">
      <c r="I744" s="74"/>
    </row>
    <row r="745" spans="9:9" x14ac:dyDescent="0.25">
      <c r="I745" s="74"/>
    </row>
    <row r="746" spans="9:9" x14ac:dyDescent="0.25">
      <c r="I746" s="74"/>
    </row>
    <row r="747" spans="9:9" x14ac:dyDescent="0.25">
      <c r="I747" s="74"/>
    </row>
    <row r="748" spans="9:9" x14ac:dyDescent="0.25">
      <c r="I748" s="74"/>
    </row>
    <row r="749" spans="9:9" x14ac:dyDescent="0.25">
      <c r="I749" s="74"/>
    </row>
    <row r="750" spans="9:9" x14ac:dyDescent="0.25">
      <c r="I750" s="74"/>
    </row>
    <row r="751" spans="9:9" x14ac:dyDescent="0.25">
      <c r="I751" s="74"/>
    </row>
    <row r="752" spans="9:9" x14ac:dyDescent="0.25">
      <c r="I752" s="74"/>
    </row>
    <row r="753" spans="9:9" x14ac:dyDescent="0.25">
      <c r="I753" s="74"/>
    </row>
    <row r="754" spans="9:9" x14ac:dyDescent="0.25">
      <c r="I754" s="74"/>
    </row>
    <row r="755" spans="9:9" x14ac:dyDescent="0.25">
      <c r="I755" s="74"/>
    </row>
    <row r="756" spans="9:9" x14ac:dyDescent="0.25">
      <c r="I756" s="74"/>
    </row>
    <row r="757" spans="9:9" x14ac:dyDescent="0.25">
      <c r="I757" s="74"/>
    </row>
    <row r="758" spans="9:9" x14ac:dyDescent="0.25">
      <c r="I758" s="74"/>
    </row>
    <row r="759" spans="9:9" x14ac:dyDescent="0.25">
      <c r="I759" s="74"/>
    </row>
    <row r="760" spans="9:9" x14ac:dyDescent="0.25">
      <c r="I760" s="74"/>
    </row>
    <row r="761" spans="9:9" x14ac:dyDescent="0.25">
      <c r="I761" s="74"/>
    </row>
    <row r="762" spans="9:9" x14ac:dyDescent="0.25">
      <c r="I762" s="74"/>
    </row>
    <row r="763" spans="9:9" x14ac:dyDescent="0.25">
      <c r="I763" s="74"/>
    </row>
    <row r="764" spans="9:9" x14ac:dyDescent="0.25">
      <c r="I764" s="74"/>
    </row>
    <row r="765" spans="9:9" x14ac:dyDescent="0.25">
      <c r="I765" s="74"/>
    </row>
    <row r="766" spans="9:9" x14ac:dyDescent="0.25">
      <c r="I766" s="74"/>
    </row>
    <row r="767" spans="9:9" x14ac:dyDescent="0.25">
      <c r="I767" s="74"/>
    </row>
    <row r="768" spans="9:9" x14ac:dyDescent="0.25">
      <c r="I768" s="74"/>
    </row>
    <row r="769" spans="9:9" x14ac:dyDescent="0.25">
      <c r="I769" s="74"/>
    </row>
    <row r="770" spans="9:9" x14ac:dyDescent="0.25">
      <c r="I770" s="74"/>
    </row>
    <row r="771" spans="9:9" x14ac:dyDescent="0.25">
      <c r="I771" s="74"/>
    </row>
    <row r="772" spans="9:9" x14ac:dyDescent="0.25">
      <c r="I772" s="74"/>
    </row>
    <row r="773" spans="9:9" x14ac:dyDescent="0.25">
      <c r="I773" s="74"/>
    </row>
    <row r="774" spans="9:9" x14ac:dyDescent="0.25">
      <c r="I774" s="74"/>
    </row>
    <row r="775" spans="9:9" x14ac:dyDescent="0.25">
      <c r="I775" s="74"/>
    </row>
    <row r="776" spans="9:9" x14ac:dyDescent="0.25">
      <c r="I776" s="74"/>
    </row>
    <row r="777" spans="9:9" x14ac:dyDescent="0.25">
      <c r="I777" s="74"/>
    </row>
    <row r="778" spans="9:9" x14ac:dyDescent="0.25">
      <c r="I778" s="74"/>
    </row>
    <row r="779" spans="9:9" x14ac:dyDescent="0.25">
      <c r="I779" s="74"/>
    </row>
    <row r="780" spans="9:9" x14ac:dyDescent="0.25">
      <c r="I780" s="74"/>
    </row>
    <row r="781" spans="9:9" x14ac:dyDescent="0.25">
      <c r="I781" s="74"/>
    </row>
    <row r="782" spans="9:9" x14ac:dyDescent="0.25">
      <c r="I782" s="74"/>
    </row>
    <row r="783" spans="9:9" x14ac:dyDescent="0.25">
      <c r="I783" s="74"/>
    </row>
    <row r="784" spans="9:9" x14ac:dyDescent="0.25">
      <c r="I784" s="74"/>
    </row>
    <row r="785" spans="9:9" x14ac:dyDescent="0.25">
      <c r="I785" s="74"/>
    </row>
    <row r="786" spans="9:9" x14ac:dyDescent="0.25">
      <c r="I786" s="74"/>
    </row>
    <row r="787" spans="9:9" x14ac:dyDescent="0.25">
      <c r="I787" s="74"/>
    </row>
    <row r="788" spans="9:9" x14ac:dyDescent="0.25">
      <c r="I788" s="74"/>
    </row>
    <row r="789" spans="9:9" x14ac:dyDescent="0.25">
      <c r="I789" s="74"/>
    </row>
    <row r="790" spans="9:9" x14ac:dyDescent="0.25">
      <c r="I790" s="74"/>
    </row>
    <row r="791" spans="9:9" x14ac:dyDescent="0.25">
      <c r="I791" s="74"/>
    </row>
    <row r="792" spans="9:9" x14ac:dyDescent="0.25">
      <c r="I792" s="74"/>
    </row>
    <row r="793" spans="9:9" x14ac:dyDescent="0.25">
      <c r="I793" s="74"/>
    </row>
    <row r="794" spans="9:9" x14ac:dyDescent="0.25">
      <c r="I794" s="74"/>
    </row>
    <row r="795" spans="9:9" x14ac:dyDescent="0.25">
      <c r="I795" s="74"/>
    </row>
    <row r="796" spans="9:9" x14ac:dyDescent="0.25">
      <c r="I796" s="74"/>
    </row>
    <row r="797" spans="9:9" x14ac:dyDescent="0.25">
      <c r="I797" s="74"/>
    </row>
    <row r="798" spans="9:9" x14ac:dyDescent="0.25">
      <c r="I798" s="74"/>
    </row>
    <row r="799" spans="9:9" x14ac:dyDescent="0.25">
      <c r="I799" s="74"/>
    </row>
    <row r="800" spans="9:9" x14ac:dyDescent="0.25">
      <c r="I800" s="74"/>
    </row>
    <row r="801" spans="9:9" x14ac:dyDescent="0.25">
      <c r="I801" s="74"/>
    </row>
    <row r="802" spans="9:9" x14ac:dyDescent="0.25">
      <c r="I802" s="74"/>
    </row>
    <row r="803" spans="9:9" x14ac:dyDescent="0.25">
      <c r="I803" s="74"/>
    </row>
    <row r="804" spans="9:9" x14ac:dyDescent="0.25">
      <c r="I804" s="74"/>
    </row>
    <row r="805" spans="9:9" x14ac:dyDescent="0.25">
      <c r="I805" s="74"/>
    </row>
    <row r="806" spans="9:9" x14ac:dyDescent="0.25">
      <c r="I806" s="74"/>
    </row>
    <row r="807" spans="9:9" x14ac:dyDescent="0.25">
      <c r="I807" s="74"/>
    </row>
    <row r="808" spans="9:9" x14ac:dyDescent="0.25">
      <c r="I808" s="74"/>
    </row>
    <row r="809" spans="9:9" x14ac:dyDescent="0.25">
      <c r="I809" s="74"/>
    </row>
    <row r="810" spans="9:9" x14ac:dyDescent="0.25">
      <c r="I810" s="74"/>
    </row>
    <row r="811" spans="9:9" x14ac:dyDescent="0.25">
      <c r="I811" s="74"/>
    </row>
    <row r="812" spans="9:9" x14ac:dyDescent="0.25">
      <c r="I812" s="74"/>
    </row>
    <row r="813" spans="9:9" x14ac:dyDescent="0.25">
      <c r="I813" s="74"/>
    </row>
    <row r="814" spans="9:9" x14ac:dyDescent="0.25">
      <c r="I814" s="74"/>
    </row>
    <row r="815" spans="9:9" x14ac:dyDescent="0.25">
      <c r="I815" s="74"/>
    </row>
    <row r="816" spans="9:9" x14ac:dyDescent="0.25">
      <c r="I816" s="74"/>
    </row>
    <row r="817" spans="9:9" x14ac:dyDescent="0.25">
      <c r="I817" s="74"/>
    </row>
    <row r="818" spans="9:9" x14ac:dyDescent="0.25">
      <c r="I818" s="74"/>
    </row>
    <row r="819" spans="9:9" x14ac:dyDescent="0.25">
      <c r="I819" s="74"/>
    </row>
    <row r="820" spans="9:9" x14ac:dyDescent="0.25">
      <c r="I820" s="74"/>
    </row>
    <row r="821" spans="9:9" x14ac:dyDescent="0.25">
      <c r="I821" s="74"/>
    </row>
    <row r="822" spans="9:9" x14ac:dyDescent="0.25">
      <c r="I822" s="74"/>
    </row>
    <row r="823" spans="9:9" x14ac:dyDescent="0.25">
      <c r="I823" s="74"/>
    </row>
    <row r="824" spans="9:9" x14ac:dyDescent="0.25">
      <c r="I824" s="74"/>
    </row>
    <row r="825" spans="9:9" x14ac:dyDescent="0.25">
      <c r="I825" s="74"/>
    </row>
    <row r="826" spans="9:9" x14ac:dyDescent="0.25">
      <c r="I826" s="74"/>
    </row>
    <row r="827" spans="9:9" x14ac:dyDescent="0.25">
      <c r="I827" s="74"/>
    </row>
    <row r="828" spans="9:9" x14ac:dyDescent="0.25">
      <c r="I828" s="74"/>
    </row>
    <row r="829" spans="9:9" x14ac:dyDescent="0.25">
      <c r="I829" s="74"/>
    </row>
    <row r="830" spans="9:9" x14ac:dyDescent="0.25">
      <c r="I830" s="74"/>
    </row>
    <row r="831" spans="9:9" x14ac:dyDescent="0.25">
      <c r="I831" s="74"/>
    </row>
    <row r="832" spans="9:9" x14ac:dyDescent="0.25">
      <c r="I832" s="74"/>
    </row>
    <row r="833" spans="9:9" x14ac:dyDescent="0.25">
      <c r="I833" s="74"/>
    </row>
    <row r="834" spans="9:9" x14ac:dyDescent="0.25">
      <c r="I834" s="74"/>
    </row>
    <row r="835" spans="9:9" x14ac:dyDescent="0.25">
      <c r="I835" s="74"/>
    </row>
    <row r="836" spans="9:9" x14ac:dyDescent="0.25">
      <c r="I836" s="74"/>
    </row>
    <row r="837" spans="9:9" x14ac:dyDescent="0.25">
      <c r="I837" s="74"/>
    </row>
    <row r="838" spans="9:9" x14ac:dyDescent="0.25">
      <c r="I838" s="74"/>
    </row>
    <row r="839" spans="9:9" x14ac:dyDescent="0.25">
      <c r="I839" s="74"/>
    </row>
    <row r="840" spans="9:9" x14ac:dyDescent="0.25">
      <c r="I840" s="74"/>
    </row>
    <row r="841" spans="9:9" x14ac:dyDescent="0.25">
      <c r="I841" s="74"/>
    </row>
    <row r="842" spans="9:9" x14ac:dyDescent="0.25">
      <c r="I842" s="74"/>
    </row>
    <row r="843" spans="9:9" x14ac:dyDescent="0.25">
      <c r="I843" s="74"/>
    </row>
    <row r="844" spans="9:9" x14ac:dyDescent="0.25">
      <c r="I844" s="74"/>
    </row>
    <row r="845" spans="9:9" x14ac:dyDescent="0.25">
      <c r="I845" s="74"/>
    </row>
    <row r="846" spans="9:9" x14ac:dyDescent="0.25">
      <c r="I846" s="74"/>
    </row>
    <row r="847" spans="9:9" x14ac:dyDescent="0.25">
      <c r="I847" s="74"/>
    </row>
    <row r="848" spans="9:9" x14ac:dyDescent="0.25">
      <c r="I848" s="74"/>
    </row>
    <row r="849" spans="9:9" x14ac:dyDescent="0.25">
      <c r="I849" s="74"/>
    </row>
    <row r="850" spans="9:9" x14ac:dyDescent="0.25">
      <c r="I850" s="74"/>
    </row>
    <row r="851" spans="9:9" x14ac:dyDescent="0.25">
      <c r="I851" s="74"/>
    </row>
    <row r="852" spans="9:9" x14ac:dyDescent="0.25">
      <c r="I852" s="74"/>
    </row>
    <row r="853" spans="9:9" x14ac:dyDescent="0.25">
      <c r="I853" s="74"/>
    </row>
    <row r="854" spans="9:9" x14ac:dyDescent="0.25">
      <c r="I854" s="74"/>
    </row>
    <row r="855" spans="9:9" x14ac:dyDescent="0.25">
      <c r="I855" s="74"/>
    </row>
    <row r="856" spans="9:9" x14ac:dyDescent="0.25">
      <c r="I856" s="74"/>
    </row>
    <row r="857" spans="9:9" x14ac:dyDescent="0.25">
      <c r="I857" s="74"/>
    </row>
    <row r="858" spans="9:9" x14ac:dyDescent="0.25">
      <c r="I858" s="74"/>
    </row>
    <row r="859" spans="9:9" x14ac:dyDescent="0.25">
      <c r="I859" s="74"/>
    </row>
    <row r="860" spans="9:9" x14ac:dyDescent="0.25">
      <c r="I860" s="74"/>
    </row>
    <row r="861" spans="9:9" x14ac:dyDescent="0.25">
      <c r="I861" s="74"/>
    </row>
    <row r="862" spans="9:9" x14ac:dyDescent="0.25">
      <c r="I862" s="74"/>
    </row>
    <row r="863" spans="9:9" x14ac:dyDescent="0.25">
      <c r="I863" s="74"/>
    </row>
    <row r="864" spans="9:9" x14ac:dyDescent="0.25">
      <c r="I864" s="74"/>
    </row>
    <row r="865" spans="9:9" x14ac:dyDescent="0.25">
      <c r="I865" s="74"/>
    </row>
    <row r="866" spans="9:9" x14ac:dyDescent="0.25">
      <c r="I866" s="74"/>
    </row>
    <row r="867" spans="9:9" x14ac:dyDescent="0.25">
      <c r="I867" s="74"/>
    </row>
    <row r="868" spans="9:9" x14ac:dyDescent="0.25">
      <c r="I868" s="74"/>
    </row>
    <row r="869" spans="9:9" x14ac:dyDescent="0.25">
      <c r="I869" s="74"/>
    </row>
    <row r="870" spans="9:9" x14ac:dyDescent="0.25">
      <c r="I870" s="74"/>
    </row>
    <row r="871" spans="9:9" x14ac:dyDescent="0.25">
      <c r="I871" s="74"/>
    </row>
    <row r="872" spans="9:9" x14ac:dyDescent="0.25">
      <c r="I872" s="74"/>
    </row>
    <row r="873" spans="9:9" x14ac:dyDescent="0.25">
      <c r="I873" s="74"/>
    </row>
    <row r="874" spans="9:9" x14ac:dyDescent="0.25">
      <c r="I874" s="74"/>
    </row>
    <row r="875" spans="9:9" x14ac:dyDescent="0.25">
      <c r="I875" s="74"/>
    </row>
    <row r="876" spans="9:9" x14ac:dyDescent="0.25">
      <c r="I876" s="74"/>
    </row>
    <row r="877" spans="9:9" x14ac:dyDescent="0.25">
      <c r="I877" s="74"/>
    </row>
    <row r="878" spans="9:9" x14ac:dyDescent="0.25">
      <c r="I878" s="74"/>
    </row>
    <row r="879" spans="9:9" x14ac:dyDescent="0.25">
      <c r="I879" s="74"/>
    </row>
    <row r="880" spans="9:9" x14ac:dyDescent="0.25">
      <c r="I880" s="74"/>
    </row>
    <row r="881" spans="9:9" x14ac:dyDescent="0.25">
      <c r="I881" s="74"/>
    </row>
    <row r="882" spans="9:9" x14ac:dyDescent="0.25">
      <c r="I882" s="74"/>
    </row>
    <row r="883" spans="9:9" x14ac:dyDescent="0.25">
      <c r="I883" s="74"/>
    </row>
    <row r="884" spans="9:9" x14ac:dyDescent="0.25">
      <c r="I884" s="74"/>
    </row>
    <row r="885" spans="9:9" x14ac:dyDescent="0.25">
      <c r="I885" s="74"/>
    </row>
    <row r="886" spans="9:9" x14ac:dyDescent="0.25">
      <c r="I886" s="74"/>
    </row>
    <row r="887" spans="9:9" x14ac:dyDescent="0.25">
      <c r="I887" s="74"/>
    </row>
    <row r="888" spans="9:9" x14ac:dyDescent="0.25">
      <c r="I888" s="74"/>
    </row>
    <row r="889" spans="9:9" x14ac:dyDescent="0.25">
      <c r="I889" s="74"/>
    </row>
    <row r="890" spans="9:9" x14ac:dyDescent="0.25">
      <c r="I890" s="74"/>
    </row>
    <row r="891" spans="9:9" x14ac:dyDescent="0.25">
      <c r="I891" s="74"/>
    </row>
    <row r="892" spans="9:9" x14ac:dyDescent="0.25">
      <c r="I892" s="74"/>
    </row>
    <row r="893" spans="9:9" x14ac:dyDescent="0.25">
      <c r="I893" s="74"/>
    </row>
    <row r="894" spans="9:9" x14ac:dyDescent="0.25">
      <c r="I894" s="74"/>
    </row>
    <row r="895" spans="9:9" x14ac:dyDescent="0.25">
      <c r="I895" s="74"/>
    </row>
    <row r="896" spans="9:9" x14ac:dyDescent="0.25">
      <c r="I896" s="74"/>
    </row>
    <row r="897" spans="9:9" x14ac:dyDescent="0.25">
      <c r="I897" s="74"/>
    </row>
    <row r="898" spans="9:9" x14ac:dyDescent="0.25">
      <c r="I898" s="74"/>
    </row>
    <row r="899" spans="9:9" x14ac:dyDescent="0.25">
      <c r="I899" s="74"/>
    </row>
    <row r="900" spans="9:9" x14ac:dyDescent="0.25">
      <c r="I900" s="74"/>
    </row>
    <row r="901" spans="9:9" x14ac:dyDescent="0.25">
      <c r="I901" s="74"/>
    </row>
    <row r="902" spans="9:9" x14ac:dyDescent="0.25">
      <c r="I902" s="74"/>
    </row>
    <row r="903" spans="9:9" x14ac:dyDescent="0.25">
      <c r="I903" s="74"/>
    </row>
    <row r="904" spans="9:9" x14ac:dyDescent="0.25">
      <c r="I904" s="74"/>
    </row>
    <row r="905" spans="9:9" x14ac:dyDescent="0.25">
      <c r="I905" s="74"/>
    </row>
    <row r="906" spans="9:9" x14ac:dyDescent="0.25">
      <c r="I906" s="74"/>
    </row>
    <row r="907" spans="9:9" x14ac:dyDescent="0.25">
      <c r="I907" s="74"/>
    </row>
    <row r="908" spans="9:9" x14ac:dyDescent="0.25">
      <c r="I908" s="74"/>
    </row>
    <row r="909" spans="9:9" x14ac:dyDescent="0.25">
      <c r="I909" s="74"/>
    </row>
    <row r="910" spans="9:9" x14ac:dyDescent="0.25">
      <c r="I910" s="74"/>
    </row>
    <row r="911" spans="9:9" x14ac:dyDescent="0.25">
      <c r="I911" s="74"/>
    </row>
    <row r="912" spans="9:9" x14ac:dyDescent="0.25">
      <c r="I912" s="74"/>
    </row>
    <row r="913" spans="9:9" x14ac:dyDescent="0.25">
      <c r="I913" s="74"/>
    </row>
    <row r="914" spans="9:9" x14ac:dyDescent="0.25">
      <c r="I914" s="74"/>
    </row>
    <row r="915" spans="9:9" x14ac:dyDescent="0.25">
      <c r="I915" s="74"/>
    </row>
    <row r="916" spans="9:9" x14ac:dyDescent="0.25">
      <c r="I916" s="74"/>
    </row>
    <row r="917" spans="9:9" x14ac:dyDescent="0.25">
      <c r="I917" s="74"/>
    </row>
    <row r="918" spans="9:9" x14ac:dyDescent="0.25">
      <c r="I918" s="74"/>
    </row>
    <row r="919" spans="9:9" x14ac:dyDescent="0.25">
      <c r="I919" s="74"/>
    </row>
    <row r="920" spans="9:9" x14ac:dyDescent="0.25">
      <c r="I920" s="74"/>
    </row>
    <row r="921" spans="9:9" x14ac:dyDescent="0.25">
      <c r="I921" s="74"/>
    </row>
    <row r="922" spans="9:9" x14ac:dyDescent="0.25">
      <c r="I922" s="74"/>
    </row>
    <row r="923" spans="9:9" x14ac:dyDescent="0.25">
      <c r="I923" s="74"/>
    </row>
    <row r="924" spans="9:9" x14ac:dyDescent="0.25">
      <c r="I924" s="74"/>
    </row>
    <row r="925" spans="9:9" x14ac:dyDescent="0.25">
      <c r="I925" s="74"/>
    </row>
    <row r="926" spans="9:9" x14ac:dyDescent="0.25">
      <c r="I926" s="74"/>
    </row>
    <row r="927" spans="9:9" x14ac:dyDescent="0.25">
      <c r="I927" s="74"/>
    </row>
    <row r="928" spans="9:9" x14ac:dyDescent="0.25">
      <c r="I928" s="74"/>
    </row>
    <row r="929" spans="9:9" x14ac:dyDescent="0.25">
      <c r="I929" s="74"/>
    </row>
    <row r="930" spans="9:9" x14ac:dyDescent="0.25">
      <c r="I930" s="74"/>
    </row>
    <row r="931" spans="9:9" x14ac:dyDescent="0.25">
      <c r="I931" s="74"/>
    </row>
    <row r="932" spans="9:9" x14ac:dyDescent="0.25">
      <c r="I932" s="74"/>
    </row>
    <row r="933" spans="9:9" x14ac:dyDescent="0.25">
      <c r="I933" s="74"/>
    </row>
    <row r="934" spans="9:9" x14ac:dyDescent="0.25">
      <c r="I934" s="74"/>
    </row>
    <row r="935" spans="9:9" x14ac:dyDescent="0.25">
      <c r="I935" s="74"/>
    </row>
    <row r="936" spans="9:9" x14ac:dyDescent="0.25">
      <c r="I936" s="74"/>
    </row>
    <row r="937" spans="9:9" x14ac:dyDescent="0.25">
      <c r="I937" s="74"/>
    </row>
    <row r="938" spans="9:9" x14ac:dyDescent="0.25">
      <c r="I938" s="74"/>
    </row>
    <row r="939" spans="9:9" x14ac:dyDescent="0.25">
      <c r="I939" s="74"/>
    </row>
    <row r="940" spans="9:9" x14ac:dyDescent="0.25">
      <c r="I940" s="74"/>
    </row>
    <row r="941" spans="9:9" x14ac:dyDescent="0.25">
      <c r="I941" s="74"/>
    </row>
    <row r="942" spans="9:9" x14ac:dyDescent="0.25">
      <c r="I942" s="74"/>
    </row>
    <row r="943" spans="9:9" x14ac:dyDescent="0.25">
      <c r="I943" s="74"/>
    </row>
    <row r="944" spans="9:9" x14ac:dyDescent="0.25">
      <c r="I944" s="74"/>
    </row>
    <row r="945" spans="9:9" x14ac:dyDescent="0.25">
      <c r="I945" s="74"/>
    </row>
    <row r="946" spans="9:9" x14ac:dyDescent="0.25">
      <c r="I946" s="74"/>
    </row>
    <row r="947" spans="9:9" x14ac:dyDescent="0.25">
      <c r="I947" s="74"/>
    </row>
    <row r="948" spans="9:9" x14ac:dyDescent="0.25">
      <c r="I948" s="74"/>
    </row>
    <row r="949" spans="9:9" x14ac:dyDescent="0.25">
      <c r="I949" s="74"/>
    </row>
    <row r="950" spans="9:9" x14ac:dyDescent="0.25">
      <c r="I950" s="74"/>
    </row>
    <row r="951" spans="9:9" x14ac:dyDescent="0.25">
      <c r="I951" s="74"/>
    </row>
    <row r="952" spans="9:9" x14ac:dyDescent="0.25">
      <c r="I952" s="74"/>
    </row>
    <row r="953" spans="9:9" x14ac:dyDescent="0.25">
      <c r="I953" s="74"/>
    </row>
    <row r="954" spans="9:9" x14ac:dyDescent="0.25">
      <c r="I954" s="74"/>
    </row>
    <row r="955" spans="9:9" x14ac:dyDescent="0.25">
      <c r="I955" s="74"/>
    </row>
    <row r="956" spans="9:9" x14ac:dyDescent="0.25">
      <c r="I956" s="74"/>
    </row>
    <row r="957" spans="9:9" x14ac:dyDescent="0.25">
      <c r="I957" s="74"/>
    </row>
    <row r="958" spans="9:9" x14ac:dyDescent="0.25">
      <c r="I958" s="74"/>
    </row>
    <row r="959" spans="9:9" x14ac:dyDescent="0.25">
      <c r="I959" s="74"/>
    </row>
    <row r="960" spans="9:9" x14ac:dyDescent="0.25">
      <c r="I960" s="74"/>
    </row>
    <row r="961" spans="9:9" x14ac:dyDescent="0.25">
      <c r="I961" s="74"/>
    </row>
    <row r="962" spans="9:9" x14ac:dyDescent="0.25">
      <c r="I962" s="74"/>
    </row>
    <row r="963" spans="9:9" x14ac:dyDescent="0.25">
      <c r="I963" s="74"/>
    </row>
    <row r="964" spans="9:9" x14ac:dyDescent="0.25">
      <c r="I964" s="74"/>
    </row>
    <row r="965" spans="9:9" x14ac:dyDescent="0.25">
      <c r="I965" s="74"/>
    </row>
    <row r="966" spans="9:9" x14ac:dyDescent="0.25">
      <c r="I966" s="74"/>
    </row>
    <row r="967" spans="9:9" x14ac:dyDescent="0.25">
      <c r="I967" s="74"/>
    </row>
    <row r="968" spans="9:9" x14ac:dyDescent="0.25">
      <c r="I968" s="74"/>
    </row>
    <row r="969" spans="9:9" x14ac:dyDescent="0.25">
      <c r="I969" s="74"/>
    </row>
    <row r="970" spans="9:9" x14ac:dyDescent="0.25">
      <c r="I970" s="74"/>
    </row>
    <row r="971" spans="9:9" x14ac:dyDescent="0.25">
      <c r="I971" s="74"/>
    </row>
    <row r="972" spans="9:9" x14ac:dyDescent="0.25">
      <c r="I972" s="74"/>
    </row>
    <row r="973" spans="9:9" x14ac:dyDescent="0.25">
      <c r="I973" s="74"/>
    </row>
    <row r="974" spans="9:9" x14ac:dyDescent="0.25">
      <c r="I974" s="74"/>
    </row>
    <row r="975" spans="9:9" x14ac:dyDescent="0.25">
      <c r="I975" s="74"/>
    </row>
    <row r="976" spans="9:9" x14ac:dyDescent="0.25">
      <c r="I976" s="74"/>
    </row>
    <row r="977" spans="9:9" x14ac:dyDescent="0.25">
      <c r="I977" s="74"/>
    </row>
    <row r="978" spans="9:9" x14ac:dyDescent="0.25">
      <c r="I978" s="74"/>
    </row>
    <row r="979" spans="9:9" x14ac:dyDescent="0.25">
      <c r="I979" s="74"/>
    </row>
    <row r="980" spans="9:9" x14ac:dyDescent="0.25">
      <c r="I980" s="74"/>
    </row>
    <row r="981" spans="9:9" x14ac:dyDescent="0.25">
      <c r="I981" s="74"/>
    </row>
    <row r="982" spans="9:9" x14ac:dyDescent="0.25">
      <c r="I982" s="74"/>
    </row>
    <row r="983" spans="9:9" x14ac:dyDescent="0.25">
      <c r="I983" s="74"/>
    </row>
    <row r="984" spans="9:9" x14ac:dyDescent="0.25">
      <c r="I984" s="74"/>
    </row>
    <row r="985" spans="9:9" x14ac:dyDescent="0.25">
      <c r="I985" s="74"/>
    </row>
    <row r="986" spans="9:9" x14ac:dyDescent="0.25">
      <c r="I986" s="74"/>
    </row>
    <row r="987" spans="9:9" x14ac:dyDescent="0.25">
      <c r="I987" s="74"/>
    </row>
    <row r="988" spans="9:9" x14ac:dyDescent="0.25">
      <c r="I988" s="74"/>
    </row>
    <row r="989" spans="9:9" x14ac:dyDescent="0.25">
      <c r="I989" s="74"/>
    </row>
    <row r="990" spans="9:9" x14ac:dyDescent="0.25">
      <c r="I990" s="74"/>
    </row>
    <row r="991" spans="9:9" x14ac:dyDescent="0.25">
      <c r="I991" s="74"/>
    </row>
    <row r="992" spans="9:9" x14ac:dyDescent="0.25">
      <c r="I992" s="74"/>
    </row>
    <row r="993" spans="9:9" x14ac:dyDescent="0.25">
      <c r="I993" s="74"/>
    </row>
    <row r="994" spans="9:9" x14ac:dyDescent="0.25">
      <c r="I994" s="74"/>
    </row>
    <row r="995" spans="9:9" x14ac:dyDescent="0.25">
      <c r="I995" s="74"/>
    </row>
    <row r="996" spans="9:9" x14ac:dyDescent="0.25">
      <c r="I996" s="74"/>
    </row>
    <row r="997" spans="9:9" x14ac:dyDescent="0.25">
      <c r="I997" s="74"/>
    </row>
    <row r="998" spans="9:9" x14ac:dyDescent="0.25">
      <c r="I998" s="74"/>
    </row>
    <row r="999" spans="9:9" x14ac:dyDescent="0.25">
      <c r="I999" s="74"/>
    </row>
    <row r="1000" spans="9:9" x14ac:dyDescent="0.25">
      <c r="I1000" s="74"/>
    </row>
    <row r="1001" spans="9:9" x14ac:dyDescent="0.25">
      <c r="I1001" s="74"/>
    </row>
    <row r="1002" spans="9:9" x14ac:dyDescent="0.25">
      <c r="I1002" s="74"/>
    </row>
    <row r="1003" spans="9:9" x14ac:dyDescent="0.25">
      <c r="I1003" s="74"/>
    </row>
    <row r="1004" spans="9:9" x14ac:dyDescent="0.25">
      <c r="I1004" s="74"/>
    </row>
    <row r="1005" spans="9:9" x14ac:dyDescent="0.25">
      <c r="I1005" s="74"/>
    </row>
    <row r="1006" spans="9:9" x14ac:dyDescent="0.25">
      <c r="I1006" s="74"/>
    </row>
    <row r="1007" spans="9:9" x14ac:dyDescent="0.25">
      <c r="I1007" s="74"/>
    </row>
    <row r="1008" spans="9:9" x14ac:dyDescent="0.25">
      <c r="I1008" s="74"/>
    </row>
    <row r="1009" spans="9:9" x14ac:dyDescent="0.25">
      <c r="I1009" s="74"/>
    </row>
    <row r="1010" spans="9:9" x14ac:dyDescent="0.25">
      <c r="I1010" s="74"/>
    </row>
    <row r="1011" spans="9:9" x14ac:dyDescent="0.25">
      <c r="I1011" s="74"/>
    </row>
    <row r="1012" spans="9:9" x14ac:dyDescent="0.25">
      <c r="I1012" s="74"/>
    </row>
    <row r="1013" spans="9:9" x14ac:dyDescent="0.25">
      <c r="I1013" s="74"/>
    </row>
    <row r="1014" spans="9:9" x14ac:dyDescent="0.25">
      <c r="I1014" s="74"/>
    </row>
    <row r="1015" spans="9:9" x14ac:dyDescent="0.25">
      <c r="I1015" s="74"/>
    </row>
    <row r="1016" spans="9:9" x14ac:dyDescent="0.25">
      <c r="I1016" s="74"/>
    </row>
    <row r="1017" spans="9:9" x14ac:dyDescent="0.25">
      <c r="I1017" s="74"/>
    </row>
    <row r="1018" spans="9:9" x14ac:dyDescent="0.25">
      <c r="I1018" s="74"/>
    </row>
    <row r="1019" spans="9:9" x14ac:dyDescent="0.25">
      <c r="I1019" s="74"/>
    </row>
    <row r="1020" spans="9:9" x14ac:dyDescent="0.25">
      <c r="I1020" s="74"/>
    </row>
    <row r="1021" spans="9:9" x14ac:dyDescent="0.25">
      <c r="I1021" s="74"/>
    </row>
    <row r="1022" spans="9:9" x14ac:dyDescent="0.25">
      <c r="I1022" s="74"/>
    </row>
    <row r="1023" spans="9:9" x14ac:dyDescent="0.25">
      <c r="I1023" s="74"/>
    </row>
    <row r="1024" spans="9:9" x14ac:dyDescent="0.25">
      <c r="I1024" s="74"/>
    </row>
    <row r="1025" spans="9:9" x14ac:dyDescent="0.25">
      <c r="I1025" s="74"/>
    </row>
    <row r="1026" spans="9:9" x14ac:dyDescent="0.25">
      <c r="I1026" s="74"/>
    </row>
    <row r="1027" spans="9:9" x14ac:dyDescent="0.25">
      <c r="I1027" s="74"/>
    </row>
    <row r="1028" spans="9:9" x14ac:dyDescent="0.25">
      <c r="I1028" s="74"/>
    </row>
    <row r="1029" spans="9:9" x14ac:dyDescent="0.25">
      <c r="I1029" s="74"/>
    </row>
    <row r="1030" spans="9:9" x14ac:dyDescent="0.25">
      <c r="I1030" s="74"/>
    </row>
    <row r="1031" spans="9:9" x14ac:dyDescent="0.25">
      <c r="I1031" s="74"/>
    </row>
    <row r="1032" spans="9:9" x14ac:dyDescent="0.25">
      <c r="I1032" s="74"/>
    </row>
    <row r="1033" spans="9:9" x14ac:dyDescent="0.25">
      <c r="I1033" s="74"/>
    </row>
    <row r="1034" spans="9:9" x14ac:dyDescent="0.25">
      <c r="I1034" s="74"/>
    </row>
    <row r="1035" spans="9:9" x14ac:dyDescent="0.25">
      <c r="I1035" s="74"/>
    </row>
    <row r="1036" spans="9:9" x14ac:dyDescent="0.25">
      <c r="I1036" s="74"/>
    </row>
    <row r="1037" spans="9:9" x14ac:dyDescent="0.25">
      <c r="I1037" s="74"/>
    </row>
    <row r="1038" spans="9:9" x14ac:dyDescent="0.25">
      <c r="I1038" s="74"/>
    </row>
    <row r="1039" spans="9:9" x14ac:dyDescent="0.25">
      <c r="I1039" s="74"/>
    </row>
    <row r="1040" spans="9:9" x14ac:dyDescent="0.25">
      <c r="I1040" s="74"/>
    </row>
    <row r="1041" spans="9:9" x14ac:dyDescent="0.25">
      <c r="I1041" s="74"/>
    </row>
    <row r="1042" spans="9:9" x14ac:dyDescent="0.25">
      <c r="I1042" s="74"/>
    </row>
    <row r="1043" spans="9:9" x14ac:dyDescent="0.25">
      <c r="I1043" s="74"/>
    </row>
    <row r="1044" spans="9:9" x14ac:dyDescent="0.25">
      <c r="I1044" s="74"/>
    </row>
    <row r="1045" spans="9:9" x14ac:dyDescent="0.25">
      <c r="I1045" s="74"/>
    </row>
    <row r="1046" spans="9:9" x14ac:dyDescent="0.25">
      <c r="I1046" s="74"/>
    </row>
    <row r="1047" spans="9:9" x14ac:dyDescent="0.25">
      <c r="I1047" s="74"/>
    </row>
    <row r="1048" spans="9:9" x14ac:dyDescent="0.25">
      <c r="I1048" s="74"/>
    </row>
    <row r="1049" spans="9:9" x14ac:dyDescent="0.25">
      <c r="I1049" s="74"/>
    </row>
    <row r="1050" spans="9:9" x14ac:dyDescent="0.25">
      <c r="I1050" s="74"/>
    </row>
    <row r="1051" spans="9:9" x14ac:dyDescent="0.25">
      <c r="I1051" s="74"/>
    </row>
    <row r="1052" spans="9:9" x14ac:dyDescent="0.25">
      <c r="I1052" s="74"/>
    </row>
    <row r="1053" spans="9:9" x14ac:dyDescent="0.25">
      <c r="I1053" s="74"/>
    </row>
    <row r="1054" spans="9:9" x14ac:dyDescent="0.25">
      <c r="I1054" s="74"/>
    </row>
    <row r="1055" spans="9:9" x14ac:dyDescent="0.25">
      <c r="I1055" s="74"/>
    </row>
    <row r="1056" spans="9:9" x14ac:dyDescent="0.25">
      <c r="I1056" s="74"/>
    </row>
    <row r="1057" spans="9:9" x14ac:dyDescent="0.25">
      <c r="I1057" s="74"/>
    </row>
    <row r="1058" spans="9:9" x14ac:dyDescent="0.25">
      <c r="I1058" s="74"/>
    </row>
    <row r="1059" spans="9:9" x14ac:dyDescent="0.25">
      <c r="I1059" s="74"/>
    </row>
    <row r="1060" spans="9:9" x14ac:dyDescent="0.25">
      <c r="I1060" s="74"/>
    </row>
    <row r="1061" spans="9:9" x14ac:dyDescent="0.25">
      <c r="I1061" s="74"/>
    </row>
    <row r="1062" spans="9:9" x14ac:dyDescent="0.25">
      <c r="I1062" s="74"/>
    </row>
    <row r="1063" spans="9:9" x14ac:dyDescent="0.25">
      <c r="I1063" s="74"/>
    </row>
    <row r="1064" spans="9:9" x14ac:dyDescent="0.25">
      <c r="I1064" s="74"/>
    </row>
    <row r="1065" spans="9:9" x14ac:dyDescent="0.25">
      <c r="I1065" s="74"/>
    </row>
    <row r="1066" spans="9:9" x14ac:dyDescent="0.25">
      <c r="I1066" s="74"/>
    </row>
    <row r="1067" spans="9:9" x14ac:dyDescent="0.25">
      <c r="I1067" s="74"/>
    </row>
    <row r="1068" spans="9:9" x14ac:dyDescent="0.25">
      <c r="I1068" s="74"/>
    </row>
    <row r="1069" spans="9:9" x14ac:dyDescent="0.25">
      <c r="I1069" s="74"/>
    </row>
    <row r="1070" spans="9:9" x14ac:dyDescent="0.25">
      <c r="I1070" s="74"/>
    </row>
    <row r="1071" spans="9:9" x14ac:dyDescent="0.25">
      <c r="I1071" s="74"/>
    </row>
    <row r="1072" spans="9:9" x14ac:dyDescent="0.25">
      <c r="I1072" s="74"/>
    </row>
    <row r="1073" spans="9:9" x14ac:dyDescent="0.25">
      <c r="I1073" s="74"/>
    </row>
    <row r="1074" spans="9:9" x14ac:dyDescent="0.25">
      <c r="I1074" s="74"/>
    </row>
    <row r="1075" spans="9:9" x14ac:dyDescent="0.25">
      <c r="I1075" s="74"/>
    </row>
    <row r="1076" spans="9:9" x14ac:dyDescent="0.25">
      <c r="I1076" s="74"/>
    </row>
    <row r="1077" spans="9:9" x14ac:dyDescent="0.25">
      <c r="I1077" s="74"/>
    </row>
    <row r="1078" spans="9:9" x14ac:dyDescent="0.25">
      <c r="I1078" s="74"/>
    </row>
    <row r="1079" spans="9:9" x14ac:dyDescent="0.25">
      <c r="I1079" s="74"/>
    </row>
    <row r="1080" spans="9:9" x14ac:dyDescent="0.25">
      <c r="I1080" s="74"/>
    </row>
    <row r="1081" spans="9:9" x14ac:dyDescent="0.25">
      <c r="I1081" s="74"/>
    </row>
    <row r="1082" spans="9:9" x14ac:dyDescent="0.25">
      <c r="I1082" s="74"/>
    </row>
    <row r="1083" spans="9:9" x14ac:dyDescent="0.25">
      <c r="I1083" s="74"/>
    </row>
    <row r="1084" spans="9:9" x14ac:dyDescent="0.25">
      <c r="I1084" s="74"/>
    </row>
    <row r="1085" spans="9:9" x14ac:dyDescent="0.25">
      <c r="I1085" s="74"/>
    </row>
    <row r="1086" spans="9:9" x14ac:dyDescent="0.25">
      <c r="I1086" s="74"/>
    </row>
    <row r="1087" spans="9:9" x14ac:dyDescent="0.25">
      <c r="I1087" s="74"/>
    </row>
    <row r="1088" spans="9:9" x14ac:dyDescent="0.25">
      <c r="I1088" s="74"/>
    </row>
    <row r="1089" spans="9:9" x14ac:dyDescent="0.25">
      <c r="I1089" s="74"/>
    </row>
    <row r="1090" spans="9:9" x14ac:dyDescent="0.25">
      <c r="I1090" s="74"/>
    </row>
    <row r="1091" spans="9:9" x14ac:dyDescent="0.25">
      <c r="I1091" s="74"/>
    </row>
    <row r="1092" spans="9:9" x14ac:dyDescent="0.25">
      <c r="I1092" s="74"/>
    </row>
    <row r="1093" spans="9:9" x14ac:dyDescent="0.25">
      <c r="I1093" s="74"/>
    </row>
    <row r="1094" spans="9:9" x14ac:dyDescent="0.25">
      <c r="I1094" s="74"/>
    </row>
    <row r="1095" spans="9:9" x14ac:dyDescent="0.25">
      <c r="I1095" s="74"/>
    </row>
    <row r="1096" spans="9:9" x14ac:dyDescent="0.25">
      <c r="I1096" s="74"/>
    </row>
    <row r="1097" spans="9:9" x14ac:dyDescent="0.25">
      <c r="I1097" s="74"/>
    </row>
    <row r="1098" spans="9:9" x14ac:dyDescent="0.25">
      <c r="I1098" s="74"/>
    </row>
    <row r="1099" spans="9:9" x14ac:dyDescent="0.25">
      <c r="I1099" s="74"/>
    </row>
    <row r="1100" spans="9:9" x14ac:dyDescent="0.25">
      <c r="I1100" s="74"/>
    </row>
    <row r="1101" spans="9:9" x14ac:dyDescent="0.25">
      <c r="I1101" s="74"/>
    </row>
    <row r="1102" spans="9:9" x14ac:dyDescent="0.25">
      <c r="I1102" s="74"/>
    </row>
    <row r="1103" spans="9:9" x14ac:dyDescent="0.25">
      <c r="I1103" s="74"/>
    </row>
    <row r="1104" spans="9:9" x14ac:dyDescent="0.25">
      <c r="I1104" s="74"/>
    </row>
    <row r="1105" spans="9:9" x14ac:dyDescent="0.25">
      <c r="I1105" s="74"/>
    </row>
    <row r="1106" spans="9:9" x14ac:dyDescent="0.25">
      <c r="I1106" s="74"/>
    </row>
    <row r="1107" spans="9:9" x14ac:dyDescent="0.25">
      <c r="I1107" s="74"/>
    </row>
    <row r="1108" spans="9:9" x14ac:dyDescent="0.25">
      <c r="I1108" s="74"/>
    </row>
    <row r="1109" spans="9:9" x14ac:dyDescent="0.25">
      <c r="I1109" s="74"/>
    </row>
    <row r="1110" spans="9:9" x14ac:dyDescent="0.25">
      <c r="I1110" s="74"/>
    </row>
    <row r="1111" spans="9:9" x14ac:dyDescent="0.25">
      <c r="I1111" s="74"/>
    </row>
    <row r="1112" spans="9:9" x14ac:dyDescent="0.25">
      <c r="I1112" s="74"/>
    </row>
    <row r="1113" spans="9:9" x14ac:dyDescent="0.25">
      <c r="I1113" s="74"/>
    </row>
    <row r="1114" spans="9:9" x14ac:dyDescent="0.25">
      <c r="I1114" s="74"/>
    </row>
    <row r="1115" spans="9:9" x14ac:dyDescent="0.25">
      <c r="I1115" s="74"/>
    </row>
    <row r="1116" spans="9:9" x14ac:dyDescent="0.25">
      <c r="I1116" s="74"/>
    </row>
    <row r="1117" spans="9:9" x14ac:dyDescent="0.25">
      <c r="I1117" s="74"/>
    </row>
    <row r="1118" spans="9:9" x14ac:dyDescent="0.25">
      <c r="I1118" s="74"/>
    </row>
    <row r="1119" spans="9:9" x14ac:dyDescent="0.25">
      <c r="I1119" s="74"/>
    </row>
    <row r="1120" spans="9:9" x14ac:dyDescent="0.25">
      <c r="I1120" s="74"/>
    </row>
    <row r="1121" spans="9:9" x14ac:dyDescent="0.25">
      <c r="I1121" s="74"/>
    </row>
    <row r="1122" spans="9:9" x14ac:dyDescent="0.25">
      <c r="I1122" s="74"/>
    </row>
    <row r="1123" spans="9:9" x14ac:dyDescent="0.25">
      <c r="I1123" s="74"/>
    </row>
    <row r="1124" spans="9:9" x14ac:dyDescent="0.25">
      <c r="I1124" s="74"/>
    </row>
    <row r="1125" spans="9:9" x14ac:dyDescent="0.25">
      <c r="I1125" s="74"/>
    </row>
    <row r="1126" spans="9:9" x14ac:dyDescent="0.25">
      <c r="I1126" s="74"/>
    </row>
    <row r="1127" spans="9:9" x14ac:dyDescent="0.25">
      <c r="I1127" s="74"/>
    </row>
    <row r="1128" spans="9:9" x14ac:dyDescent="0.25">
      <c r="I1128" s="74"/>
    </row>
    <row r="1129" spans="9:9" x14ac:dyDescent="0.25">
      <c r="I1129" s="74"/>
    </row>
    <row r="1130" spans="9:9" x14ac:dyDescent="0.25">
      <c r="I1130" s="74"/>
    </row>
    <row r="1131" spans="9:9" x14ac:dyDescent="0.25">
      <c r="I1131" s="74"/>
    </row>
    <row r="1132" spans="9:9" x14ac:dyDescent="0.25">
      <c r="I1132" s="74"/>
    </row>
    <row r="1133" spans="9:9" x14ac:dyDescent="0.25">
      <c r="I1133" s="74"/>
    </row>
    <row r="1134" spans="9:9" x14ac:dyDescent="0.25">
      <c r="I1134" s="74"/>
    </row>
    <row r="1135" spans="9:9" x14ac:dyDescent="0.25">
      <c r="I1135" s="74"/>
    </row>
    <row r="1136" spans="9:9" x14ac:dyDescent="0.25">
      <c r="I1136" s="74"/>
    </row>
    <row r="1137" spans="9:9" x14ac:dyDescent="0.25">
      <c r="I1137" s="74"/>
    </row>
    <row r="1138" spans="9:9" x14ac:dyDescent="0.25">
      <c r="I1138" s="74"/>
    </row>
    <row r="1139" spans="9:9" x14ac:dyDescent="0.25">
      <c r="I1139" s="74"/>
    </row>
    <row r="1140" spans="9:9" x14ac:dyDescent="0.25">
      <c r="I1140" s="74"/>
    </row>
    <row r="1141" spans="9:9" x14ac:dyDescent="0.25">
      <c r="I1141" s="74"/>
    </row>
    <row r="1142" spans="9:9" x14ac:dyDescent="0.25">
      <c r="I1142" s="74"/>
    </row>
    <row r="1143" spans="9:9" x14ac:dyDescent="0.25">
      <c r="I1143" s="74"/>
    </row>
    <row r="1144" spans="9:9" x14ac:dyDescent="0.25">
      <c r="I1144" s="74"/>
    </row>
    <row r="1145" spans="9:9" x14ac:dyDescent="0.25">
      <c r="I1145" s="74"/>
    </row>
    <row r="1146" spans="9:9" x14ac:dyDescent="0.25">
      <c r="I1146" s="74"/>
    </row>
    <row r="1147" spans="9:9" x14ac:dyDescent="0.25">
      <c r="I1147" s="74"/>
    </row>
    <row r="1148" spans="9:9" x14ac:dyDescent="0.25">
      <c r="I1148" s="74"/>
    </row>
    <row r="1149" spans="9:9" x14ac:dyDescent="0.25">
      <c r="I1149" s="74"/>
    </row>
    <row r="1150" spans="9:9" x14ac:dyDescent="0.25">
      <c r="I1150" s="74"/>
    </row>
    <row r="1151" spans="9:9" x14ac:dyDescent="0.25">
      <c r="I1151" s="74"/>
    </row>
    <row r="1152" spans="9:9" x14ac:dyDescent="0.25">
      <c r="I1152" s="74"/>
    </row>
    <row r="1153" spans="9:9" x14ac:dyDescent="0.25">
      <c r="I1153" s="74"/>
    </row>
    <row r="1154" spans="9:9" x14ac:dyDescent="0.25">
      <c r="I1154" s="74"/>
    </row>
    <row r="1155" spans="9:9" x14ac:dyDescent="0.25">
      <c r="I1155" s="74"/>
    </row>
    <row r="1156" spans="9:9" x14ac:dyDescent="0.25">
      <c r="I1156" s="74"/>
    </row>
    <row r="1157" spans="9:9" x14ac:dyDescent="0.25">
      <c r="I1157" s="74"/>
    </row>
    <row r="1158" spans="9:9" x14ac:dyDescent="0.25">
      <c r="I1158" s="74"/>
    </row>
    <row r="1159" spans="9:9" x14ac:dyDescent="0.25">
      <c r="I1159" s="74"/>
    </row>
    <row r="1160" spans="9:9" x14ac:dyDescent="0.25">
      <c r="I1160" s="74"/>
    </row>
    <row r="1161" spans="9:9" x14ac:dyDescent="0.25">
      <c r="I1161" s="74"/>
    </row>
    <row r="1162" spans="9:9" x14ac:dyDescent="0.25">
      <c r="I1162" s="74"/>
    </row>
    <row r="1163" spans="9:9" x14ac:dyDescent="0.25">
      <c r="I1163" s="74"/>
    </row>
    <row r="1164" spans="9:9" x14ac:dyDescent="0.25">
      <c r="I1164" s="74"/>
    </row>
    <row r="1165" spans="9:9" x14ac:dyDescent="0.25">
      <c r="I1165" s="74"/>
    </row>
    <row r="1166" spans="9:9" x14ac:dyDescent="0.25">
      <c r="I1166" s="74"/>
    </row>
    <row r="1167" spans="9:9" x14ac:dyDescent="0.25">
      <c r="I1167" s="74"/>
    </row>
    <row r="1168" spans="9:9" x14ac:dyDescent="0.25">
      <c r="I1168" s="74"/>
    </row>
    <row r="1169" spans="9:9" x14ac:dyDescent="0.25">
      <c r="I1169" s="74"/>
    </row>
    <row r="1170" spans="9:9" x14ac:dyDescent="0.25">
      <c r="I1170" s="74"/>
    </row>
    <row r="1171" spans="9:9" x14ac:dyDescent="0.25">
      <c r="I1171" s="74"/>
    </row>
    <row r="1172" spans="9:9" x14ac:dyDescent="0.25">
      <c r="I1172" s="74"/>
    </row>
    <row r="1173" spans="9:9" x14ac:dyDescent="0.25">
      <c r="I1173" s="74"/>
    </row>
    <row r="1174" spans="9:9" x14ac:dyDescent="0.25">
      <c r="I1174" s="74"/>
    </row>
    <row r="1175" spans="9:9" x14ac:dyDescent="0.25">
      <c r="I1175" s="74"/>
    </row>
    <row r="1176" spans="9:9" x14ac:dyDescent="0.25">
      <c r="I1176" s="74"/>
    </row>
    <row r="1177" spans="9:9" x14ac:dyDescent="0.25">
      <c r="I1177" s="74"/>
    </row>
    <row r="1178" spans="9:9" x14ac:dyDescent="0.25">
      <c r="I1178" s="74"/>
    </row>
    <row r="1179" spans="9:9" x14ac:dyDescent="0.25">
      <c r="I1179" s="74"/>
    </row>
    <row r="1180" spans="9:9" x14ac:dyDescent="0.25">
      <c r="I1180" s="74"/>
    </row>
    <row r="1181" spans="9:9" x14ac:dyDescent="0.25">
      <c r="I1181" s="74"/>
    </row>
    <row r="1182" spans="9:9" x14ac:dyDescent="0.25">
      <c r="I1182" s="74"/>
    </row>
    <row r="1183" spans="9:9" x14ac:dyDescent="0.25">
      <c r="I1183" s="74"/>
    </row>
    <row r="1184" spans="9:9" x14ac:dyDescent="0.25">
      <c r="I1184" s="74"/>
    </row>
    <row r="1185" spans="9:9" x14ac:dyDescent="0.25">
      <c r="I1185" s="74"/>
    </row>
    <row r="1186" spans="9:9" x14ac:dyDescent="0.25">
      <c r="I1186" s="74"/>
    </row>
    <row r="1187" spans="9:9" x14ac:dyDescent="0.25">
      <c r="I1187" s="74"/>
    </row>
    <row r="1188" spans="9:9" x14ac:dyDescent="0.25">
      <c r="I1188" s="74"/>
    </row>
    <row r="1189" spans="9:9" x14ac:dyDescent="0.25">
      <c r="I1189" s="74"/>
    </row>
    <row r="1190" spans="9:9" x14ac:dyDescent="0.25">
      <c r="I1190" s="74"/>
    </row>
    <row r="1191" spans="9:9" x14ac:dyDescent="0.25">
      <c r="I1191" s="74"/>
    </row>
    <row r="1192" spans="9:9" x14ac:dyDescent="0.25">
      <c r="I1192" s="74"/>
    </row>
    <row r="1193" spans="9:9" x14ac:dyDescent="0.25">
      <c r="I1193" s="74"/>
    </row>
    <row r="1194" spans="9:9" x14ac:dyDescent="0.25">
      <c r="I1194" s="74"/>
    </row>
    <row r="1195" spans="9:9" x14ac:dyDescent="0.25">
      <c r="I1195" s="74"/>
    </row>
    <row r="1196" spans="9:9" x14ac:dyDescent="0.25">
      <c r="I1196" s="74"/>
    </row>
    <row r="1197" spans="9:9" x14ac:dyDescent="0.25">
      <c r="I1197" s="74"/>
    </row>
    <row r="1198" spans="9:9" x14ac:dyDescent="0.25">
      <c r="I1198" s="74"/>
    </row>
    <row r="1199" spans="9:9" x14ac:dyDescent="0.25">
      <c r="I1199" s="74"/>
    </row>
    <row r="1200" spans="9:9" x14ac:dyDescent="0.25">
      <c r="I1200" s="74"/>
    </row>
    <row r="1201" spans="9:9" x14ac:dyDescent="0.25">
      <c r="I1201" s="74"/>
    </row>
    <row r="1202" spans="9:9" x14ac:dyDescent="0.25">
      <c r="I1202" s="74"/>
    </row>
    <row r="1203" spans="9:9" x14ac:dyDescent="0.25">
      <c r="I1203" s="74"/>
    </row>
    <row r="1204" spans="9:9" x14ac:dyDescent="0.25">
      <c r="I1204" s="74"/>
    </row>
    <row r="1205" spans="9:9" x14ac:dyDescent="0.25">
      <c r="I1205" s="74"/>
    </row>
    <row r="1206" spans="9:9" x14ac:dyDescent="0.25">
      <c r="I1206" s="74"/>
    </row>
    <row r="1207" spans="9:9" x14ac:dyDescent="0.25">
      <c r="I1207" s="74"/>
    </row>
    <row r="1208" spans="9:9" x14ac:dyDescent="0.25">
      <c r="I1208" s="74"/>
    </row>
    <row r="1209" spans="9:9" x14ac:dyDescent="0.25">
      <c r="I1209" s="74"/>
    </row>
    <row r="1210" spans="9:9" x14ac:dyDescent="0.25">
      <c r="I1210" s="74"/>
    </row>
    <row r="1211" spans="9:9" x14ac:dyDescent="0.25">
      <c r="I1211" s="74"/>
    </row>
    <row r="1212" spans="9:9" x14ac:dyDescent="0.25">
      <c r="I1212" s="74"/>
    </row>
    <row r="1213" spans="9:9" x14ac:dyDescent="0.25">
      <c r="I1213" s="74"/>
    </row>
    <row r="1214" spans="9:9" x14ac:dyDescent="0.25">
      <c r="I1214" s="74"/>
    </row>
    <row r="1215" spans="9:9" x14ac:dyDescent="0.25">
      <c r="I1215" s="74"/>
    </row>
    <row r="1216" spans="9:9" x14ac:dyDescent="0.25">
      <c r="I1216" s="74"/>
    </row>
    <row r="1217" spans="9:9" x14ac:dyDescent="0.25">
      <c r="I1217" s="74"/>
    </row>
    <row r="1218" spans="9:9" x14ac:dyDescent="0.25">
      <c r="I1218" s="74"/>
    </row>
    <row r="1219" spans="9:9" x14ac:dyDescent="0.25">
      <c r="I1219" s="74"/>
    </row>
    <row r="1220" spans="9:9" x14ac:dyDescent="0.25">
      <c r="I1220" s="74"/>
    </row>
    <row r="1221" spans="9:9" x14ac:dyDescent="0.25">
      <c r="I1221" s="74"/>
    </row>
    <row r="1222" spans="9:9" x14ac:dyDescent="0.25">
      <c r="I1222" s="74"/>
    </row>
    <row r="1223" spans="9:9" x14ac:dyDescent="0.25">
      <c r="I1223" s="74"/>
    </row>
    <row r="1224" spans="9:9" x14ac:dyDescent="0.25">
      <c r="I1224" s="74"/>
    </row>
    <row r="1225" spans="9:9" x14ac:dyDescent="0.25">
      <c r="I1225" s="74"/>
    </row>
    <row r="1226" spans="9:9" x14ac:dyDescent="0.25">
      <c r="I1226" s="74"/>
    </row>
    <row r="1227" spans="9:9" x14ac:dyDescent="0.25">
      <c r="I1227" s="74"/>
    </row>
    <row r="1228" spans="9:9" x14ac:dyDescent="0.25">
      <c r="I1228" s="74"/>
    </row>
    <row r="1229" spans="9:9" x14ac:dyDescent="0.25">
      <c r="I1229" s="74"/>
    </row>
    <row r="1230" spans="9:9" x14ac:dyDescent="0.25">
      <c r="I1230" s="74"/>
    </row>
    <row r="1231" spans="9:9" x14ac:dyDescent="0.25">
      <c r="I1231" s="74"/>
    </row>
    <row r="1232" spans="9:9" x14ac:dyDescent="0.25">
      <c r="I1232" s="74"/>
    </row>
    <row r="1233" spans="9:9" x14ac:dyDescent="0.25">
      <c r="I1233" s="74"/>
    </row>
    <row r="1234" spans="9:9" x14ac:dyDescent="0.25">
      <c r="I1234" s="74"/>
    </row>
    <row r="1235" spans="9:9" x14ac:dyDescent="0.25">
      <c r="I1235" s="74"/>
    </row>
    <row r="1236" spans="9:9" x14ac:dyDescent="0.25">
      <c r="I1236" s="74"/>
    </row>
    <row r="1237" spans="9:9" x14ac:dyDescent="0.25">
      <c r="I1237" s="74"/>
    </row>
    <row r="1238" spans="9:9" x14ac:dyDescent="0.25">
      <c r="I1238" s="74"/>
    </row>
    <row r="1239" spans="9:9" x14ac:dyDescent="0.25">
      <c r="I1239" s="74"/>
    </row>
    <row r="1240" spans="9:9" x14ac:dyDescent="0.25">
      <c r="I1240" s="74"/>
    </row>
    <row r="1241" spans="9:9" x14ac:dyDescent="0.25">
      <c r="I1241" s="74"/>
    </row>
    <row r="1242" spans="9:9" x14ac:dyDescent="0.25">
      <c r="I1242" s="74"/>
    </row>
    <row r="1243" spans="9:9" x14ac:dyDescent="0.25">
      <c r="I1243" s="74"/>
    </row>
    <row r="1244" spans="9:9" x14ac:dyDescent="0.25">
      <c r="I1244" s="74"/>
    </row>
    <row r="1245" spans="9:9" x14ac:dyDescent="0.25">
      <c r="I1245" s="74"/>
    </row>
    <row r="1246" spans="9:9" x14ac:dyDescent="0.25">
      <c r="I1246" s="74"/>
    </row>
    <row r="1247" spans="9:9" x14ac:dyDescent="0.25">
      <c r="I1247" s="74"/>
    </row>
    <row r="1248" spans="9:9" x14ac:dyDescent="0.25">
      <c r="I1248" s="74"/>
    </row>
    <row r="1249" spans="9:9" x14ac:dyDescent="0.25">
      <c r="I1249" s="74"/>
    </row>
    <row r="1250" spans="9:9" x14ac:dyDescent="0.25">
      <c r="I1250" s="74"/>
    </row>
    <row r="1251" spans="9:9" x14ac:dyDescent="0.25">
      <c r="I1251" s="74"/>
    </row>
    <row r="1252" spans="9:9" x14ac:dyDescent="0.25">
      <c r="I1252" s="74"/>
    </row>
    <row r="1253" spans="9:9" x14ac:dyDescent="0.25">
      <c r="I1253" s="74"/>
    </row>
    <row r="1254" spans="9:9" x14ac:dyDescent="0.25">
      <c r="I1254" s="74"/>
    </row>
    <row r="1255" spans="9:9" x14ac:dyDescent="0.25">
      <c r="I1255" s="74"/>
    </row>
    <row r="1256" spans="9:9" x14ac:dyDescent="0.25">
      <c r="I1256" s="74"/>
    </row>
    <row r="1257" spans="9:9" x14ac:dyDescent="0.25">
      <c r="I1257" s="74"/>
    </row>
    <row r="1258" spans="9:9" x14ac:dyDescent="0.25">
      <c r="I1258" s="74"/>
    </row>
    <row r="1259" spans="9:9" x14ac:dyDescent="0.25">
      <c r="I1259" s="74"/>
    </row>
    <row r="1260" spans="9:9" x14ac:dyDescent="0.25">
      <c r="I1260" s="74"/>
    </row>
    <row r="1261" spans="9:9" x14ac:dyDescent="0.25">
      <c r="I1261" s="74"/>
    </row>
    <row r="1262" spans="9:9" x14ac:dyDescent="0.25">
      <c r="I1262" s="74"/>
    </row>
    <row r="1263" spans="9:9" x14ac:dyDescent="0.25">
      <c r="I1263" s="74"/>
    </row>
    <row r="1264" spans="9:9" x14ac:dyDescent="0.25">
      <c r="I1264" s="74"/>
    </row>
    <row r="1265" spans="9:9" x14ac:dyDescent="0.25">
      <c r="I1265" s="74"/>
    </row>
    <row r="1266" spans="9:9" x14ac:dyDescent="0.25">
      <c r="I1266" s="74"/>
    </row>
    <row r="1267" spans="9:9" x14ac:dyDescent="0.25">
      <c r="I1267" s="74"/>
    </row>
    <row r="1268" spans="9:9" x14ac:dyDescent="0.25">
      <c r="I1268" s="74"/>
    </row>
    <row r="1269" spans="9:9" x14ac:dyDescent="0.25">
      <c r="I1269" s="74"/>
    </row>
    <row r="1270" spans="9:9" x14ac:dyDescent="0.25">
      <c r="I1270" s="74"/>
    </row>
    <row r="1271" spans="9:9" x14ac:dyDescent="0.25">
      <c r="I1271" s="74"/>
    </row>
    <row r="1272" spans="9:9" x14ac:dyDescent="0.25">
      <c r="I1272" s="74"/>
    </row>
    <row r="1273" spans="9:9" x14ac:dyDescent="0.25">
      <c r="I1273" s="74"/>
    </row>
    <row r="1274" spans="9:9" x14ac:dyDescent="0.25">
      <c r="I1274" s="74"/>
    </row>
    <row r="1275" spans="9:9" x14ac:dyDescent="0.25">
      <c r="I1275" s="74"/>
    </row>
    <row r="1276" spans="9:9" x14ac:dyDescent="0.25">
      <c r="I1276" s="74"/>
    </row>
    <row r="1277" spans="9:9" x14ac:dyDescent="0.25">
      <c r="I1277" s="74"/>
    </row>
    <row r="1278" spans="9:9" x14ac:dyDescent="0.25">
      <c r="I1278" s="74"/>
    </row>
    <row r="1279" spans="9:9" x14ac:dyDescent="0.25">
      <c r="I1279" s="74"/>
    </row>
    <row r="1280" spans="9:9" x14ac:dyDescent="0.25">
      <c r="I1280" s="74"/>
    </row>
    <row r="1281" spans="9:9" x14ac:dyDescent="0.25">
      <c r="I1281" s="74"/>
    </row>
    <row r="1282" spans="9:9" x14ac:dyDescent="0.25">
      <c r="I1282" s="74"/>
    </row>
    <row r="1283" spans="9:9" x14ac:dyDescent="0.25">
      <c r="I1283" s="74"/>
    </row>
    <row r="1284" spans="9:9" x14ac:dyDescent="0.25">
      <c r="I1284" s="74"/>
    </row>
    <row r="1285" spans="9:9" x14ac:dyDescent="0.25">
      <c r="I1285" s="74"/>
    </row>
    <row r="1286" spans="9:9" x14ac:dyDescent="0.25">
      <c r="I1286" s="74"/>
    </row>
    <row r="1287" spans="9:9" x14ac:dyDescent="0.25">
      <c r="I1287" s="74"/>
    </row>
    <row r="1288" spans="9:9" x14ac:dyDescent="0.25">
      <c r="I1288" s="74"/>
    </row>
    <row r="1289" spans="9:9" x14ac:dyDescent="0.25">
      <c r="I1289" s="74"/>
    </row>
    <row r="1290" spans="9:9" x14ac:dyDescent="0.25">
      <c r="I1290" s="74"/>
    </row>
    <row r="1291" spans="9:9" x14ac:dyDescent="0.25">
      <c r="I1291" s="74"/>
    </row>
    <row r="1292" spans="9:9" x14ac:dyDescent="0.25">
      <c r="I1292" s="74"/>
    </row>
    <row r="1293" spans="9:9" x14ac:dyDescent="0.25">
      <c r="I1293" s="74"/>
    </row>
    <row r="1294" spans="9:9" x14ac:dyDescent="0.25">
      <c r="I1294" s="74"/>
    </row>
    <row r="1295" spans="9:9" x14ac:dyDescent="0.25">
      <c r="I1295" s="74"/>
    </row>
    <row r="1296" spans="9:9" x14ac:dyDescent="0.25">
      <c r="I1296" s="74"/>
    </row>
    <row r="1297" spans="9:9" x14ac:dyDescent="0.25">
      <c r="I1297" s="74"/>
    </row>
    <row r="1298" spans="9:9" x14ac:dyDescent="0.25">
      <c r="I1298" s="74"/>
    </row>
    <row r="1299" spans="9:9" x14ac:dyDescent="0.25">
      <c r="I1299" s="74"/>
    </row>
    <row r="1300" spans="9:9" x14ac:dyDescent="0.25">
      <c r="I1300" s="74"/>
    </row>
    <row r="1301" spans="9:9" x14ac:dyDescent="0.25">
      <c r="I1301" s="74"/>
    </row>
    <row r="1302" spans="9:9" x14ac:dyDescent="0.25">
      <c r="I1302" s="74"/>
    </row>
    <row r="1303" spans="9:9" x14ac:dyDescent="0.25">
      <c r="I1303" s="74"/>
    </row>
    <row r="1304" spans="9:9" x14ac:dyDescent="0.25">
      <c r="I1304" s="74"/>
    </row>
    <row r="1305" spans="9:9" x14ac:dyDescent="0.25">
      <c r="I1305" s="74"/>
    </row>
    <row r="1306" spans="9:9" x14ac:dyDescent="0.25">
      <c r="I1306" s="74"/>
    </row>
    <row r="1307" spans="9:9" x14ac:dyDescent="0.25">
      <c r="I1307" s="74"/>
    </row>
    <row r="1308" spans="9:9" x14ac:dyDescent="0.25">
      <c r="I1308" s="74"/>
    </row>
    <row r="1309" spans="9:9" x14ac:dyDescent="0.25">
      <c r="I1309" s="74"/>
    </row>
    <row r="1310" spans="9:9" x14ac:dyDescent="0.25">
      <c r="I1310" s="74"/>
    </row>
    <row r="1311" spans="9:9" x14ac:dyDescent="0.25">
      <c r="I1311" s="74"/>
    </row>
    <row r="1312" spans="9:9" x14ac:dyDescent="0.25">
      <c r="I1312" s="74"/>
    </row>
    <row r="1313" spans="9:9" x14ac:dyDescent="0.25">
      <c r="I1313" s="74"/>
    </row>
    <row r="1314" spans="9:9" x14ac:dyDescent="0.25">
      <c r="I1314" s="74"/>
    </row>
    <row r="1315" spans="9:9" x14ac:dyDescent="0.25">
      <c r="I1315" s="74"/>
    </row>
    <row r="1316" spans="9:9" x14ac:dyDescent="0.25">
      <c r="I1316" s="74"/>
    </row>
    <row r="1317" spans="9:9" x14ac:dyDescent="0.25">
      <c r="I1317" s="74"/>
    </row>
    <row r="1318" spans="9:9" x14ac:dyDescent="0.25">
      <c r="I1318" s="74"/>
    </row>
    <row r="1319" spans="9:9" x14ac:dyDescent="0.25">
      <c r="I1319" s="74"/>
    </row>
    <row r="1320" spans="9:9" x14ac:dyDescent="0.25">
      <c r="I1320" s="74"/>
    </row>
    <row r="1321" spans="9:9" x14ac:dyDescent="0.25">
      <c r="I1321" s="74"/>
    </row>
    <row r="1322" spans="9:9" x14ac:dyDescent="0.25">
      <c r="I1322" s="74"/>
    </row>
    <row r="1323" spans="9:9" x14ac:dyDescent="0.25">
      <c r="I1323" s="74"/>
    </row>
    <row r="1324" spans="9:9" x14ac:dyDescent="0.25">
      <c r="I1324" s="74"/>
    </row>
    <row r="1325" spans="9:9" x14ac:dyDescent="0.25">
      <c r="I1325" s="74"/>
    </row>
    <row r="1326" spans="9:9" x14ac:dyDescent="0.25">
      <c r="I1326" s="74"/>
    </row>
    <row r="1327" spans="9:9" x14ac:dyDescent="0.25">
      <c r="I1327" s="74"/>
    </row>
    <row r="1328" spans="9:9" x14ac:dyDescent="0.25">
      <c r="I1328" s="74"/>
    </row>
    <row r="1329" spans="9:9" x14ac:dyDescent="0.25">
      <c r="I1329" s="74"/>
    </row>
    <row r="1330" spans="9:9" x14ac:dyDescent="0.25">
      <c r="I1330" s="74"/>
    </row>
    <row r="1331" spans="9:9" x14ac:dyDescent="0.25">
      <c r="I1331" s="74"/>
    </row>
    <row r="1332" spans="9:9" x14ac:dyDescent="0.25">
      <c r="I1332" s="74"/>
    </row>
    <row r="1333" spans="9:9" x14ac:dyDescent="0.25">
      <c r="I1333" s="74"/>
    </row>
    <row r="1334" spans="9:9" x14ac:dyDescent="0.25">
      <c r="I1334" s="74"/>
    </row>
    <row r="1335" spans="9:9" x14ac:dyDescent="0.25">
      <c r="I1335" s="74"/>
    </row>
    <row r="1336" spans="9:9" x14ac:dyDescent="0.25">
      <c r="I1336" s="74"/>
    </row>
    <row r="1337" spans="9:9" x14ac:dyDescent="0.25">
      <c r="I1337" s="74"/>
    </row>
    <row r="1338" spans="9:9" x14ac:dyDescent="0.25">
      <c r="I1338" s="74"/>
    </row>
    <row r="1339" spans="9:9" x14ac:dyDescent="0.25">
      <c r="I1339" s="74"/>
    </row>
    <row r="1340" spans="9:9" x14ac:dyDescent="0.25">
      <c r="I1340" s="74"/>
    </row>
    <row r="1341" spans="9:9" x14ac:dyDescent="0.25">
      <c r="I1341" s="74"/>
    </row>
    <row r="1342" spans="9:9" x14ac:dyDescent="0.25">
      <c r="I1342" s="74"/>
    </row>
    <row r="1343" spans="9:9" x14ac:dyDescent="0.25">
      <c r="I1343" s="74"/>
    </row>
    <row r="1344" spans="9:9" x14ac:dyDescent="0.25">
      <c r="I1344" s="74"/>
    </row>
    <row r="1345" spans="9:9" x14ac:dyDescent="0.25">
      <c r="I1345" s="74"/>
    </row>
    <row r="1346" spans="9:9" x14ac:dyDescent="0.25">
      <c r="I1346" s="74"/>
    </row>
    <row r="1347" spans="9:9" x14ac:dyDescent="0.25">
      <c r="I1347" s="74"/>
    </row>
    <row r="1348" spans="9:9" x14ac:dyDescent="0.25">
      <c r="I1348" s="74"/>
    </row>
    <row r="1349" spans="9:9" x14ac:dyDescent="0.25">
      <c r="I1349" s="74"/>
    </row>
    <row r="1350" spans="9:9" x14ac:dyDescent="0.25">
      <c r="I1350" s="74"/>
    </row>
    <row r="1351" spans="9:9" x14ac:dyDescent="0.25">
      <c r="I1351" s="74"/>
    </row>
    <row r="1352" spans="9:9" x14ac:dyDescent="0.25">
      <c r="I1352" s="74"/>
    </row>
    <row r="1353" spans="9:9" x14ac:dyDescent="0.25">
      <c r="I1353" s="74"/>
    </row>
    <row r="1354" spans="9:9" x14ac:dyDescent="0.25">
      <c r="I1354" s="74"/>
    </row>
    <row r="1355" spans="9:9" x14ac:dyDescent="0.25">
      <c r="I1355" s="74"/>
    </row>
    <row r="1356" spans="9:9" x14ac:dyDescent="0.25">
      <c r="I1356" s="74"/>
    </row>
    <row r="1357" spans="9:9" x14ac:dyDescent="0.25">
      <c r="I1357" s="74"/>
    </row>
    <row r="1358" spans="9:9" x14ac:dyDescent="0.25">
      <c r="I1358" s="74"/>
    </row>
    <row r="1359" spans="9:9" x14ac:dyDescent="0.25">
      <c r="I1359" s="74"/>
    </row>
    <row r="1360" spans="9:9" x14ac:dyDescent="0.25">
      <c r="I1360" s="74"/>
    </row>
    <row r="1361" spans="9:9" x14ac:dyDescent="0.25">
      <c r="I1361" s="74"/>
    </row>
    <row r="1362" spans="9:9" x14ac:dyDescent="0.25">
      <c r="I1362" s="74"/>
    </row>
    <row r="1363" spans="9:9" x14ac:dyDescent="0.25">
      <c r="I1363" s="74"/>
    </row>
    <row r="1364" spans="9:9" x14ac:dyDescent="0.25">
      <c r="I1364" s="74"/>
    </row>
    <row r="1365" spans="9:9" x14ac:dyDescent="0.25">
      <c r="I1365" s="74"/>
    </row>
    <row r="1366" spans="9:9" x14ac:dyDescent="0.25">
      <c r="I1366" s="74"/>
    </row>
    <row r="1367" spans="9:9" x14ac:dyDescent="0.25">
      <c r="I1367" s="74"/>
    </row>
    <row r="1368" spans="9:9" x14ac:dyDescent="0.25">
      <c r="I1368" s="74"/>
    </row>
    <row r="1369" spans="9:9" x14ac:dyDescent="0.25">
      <c r="I1369" s="74"/>
    </row>
    <row r="1370" spans="9:9" x14ac:dyDescent="0.25">
      <c r="I1370" s="74"/>
    </row>
    <row r="1371" spans="9:9" x14ac:dyDescent="0.25">
      <c r="I1371" s="74"/>
    </row>
    <row r="1372" spans="9:9" x14ac:dyDescent="0.25">
      <c r="I1372" s="74"/>
    </row>
    <row r="1373" spans="9:9" x14ac:dyDescent="0.25">
      <c r="I1373" s="74"/>
    </row>
    <row r="1374" spans="9:9" x14ac:dyDescent="0.25">
      <c r="I1374" s="74"/>
    </row>
    <row r="1375" spans="9:9" x14ac:dyDescent="0.25">
      <c r="I1375" s="74"/>
    </row>
    <row r="1376" spans="9:9" x14ac:dyDescent="0.25">
      <c r="I1376" s="74"/>
    </row>
    <row r="1377" spans="9:9" x14ac:dyDescent="0.25">
      <c r="I1377" s="74"/>
    </row>
    <row r="1378" spans="9:9" x14ac:dyDescent="0.25">
      <c r="I1378" s="74"/>
    </row>
    <row r="1379" spans="9:9" x14ac:dyDescent="0.25">
      <c r="I1379" s="74"/>
    </row>
    <row r="1380" spans="9:9" x14ac:dyDescent="0.25">
      <c r="I1380" s="74"/>
    </row>
    <row r="1381" spans="9:9" x14ac:dyDescent="0.25">
      <c r="I1381" s="74"/>
    </row>
    <row r="1382" spans="9:9" x14ac:dyDescent="0.25">
      <c r="I1382" s="74"/>
    </row>
    <row r="1383" spans="9:9" x14ac:dyDescent="0.25">
      <c r="I1383" s="74"/>
    </row>
    <row r="1384" spans="9:9" x14ac:dyDescent="0.25">
      <c r="I1384" s="74"/>
    </row>
    <row r="1385" spans="9:9" x14ac:dyDescent="0.25">
      <c r="I1385" s="74"/>
    </row>
    <row r="1386" spans="9:9" x14ac:dyDescent="0.25">
      <c r="I1386" s="74"/>
    </row>
    <row r="1387" spans="9:9" x14ac:dyDescent="0.25">
      <c r="I1387" s="74"/>
    </row>
    <row r="1388" spans="9:9" x14ac:dyDescent="0.25">
      <c r="I1388" s="74"/>
    </row>
    <row r="1389" spans="9:9" x14ac:dyDescent="0.25">
      <c r="I1389" s="74"/>
    </row>
    <row r="1390" spans="9:9" x14ac:dyDescent="0.25">
      <c r="I1390" s="74"/>
    </row>
    <row r="1391" spans="9:9" x14ac:dyDescent="0.25">
      <c r="I1391" s="74"/>
    </row>
    <row r="1392" spans="9:9" x14ac:dyDescent="0.25">
      <c r="I1392" s="74"/>
    </row>
    <row r="1393" spans="9:9" x14ac:dyDescent="0.25">
      <c r="I1393" s="74"/>
    </row>
    <row r="1394" spans="9:9" x14ac:dyDescent="0.25">
      <c r="I1394" s="74"/>
    </row>
    <row r="1395" spans="9:9" x14ac:dyDescent="0.25">
      <c r="I1395" s="74"/>
    </row>
    <row r="1396" spans="9:9" x14ac:dyDescent="0.25">
      <c r="I1396" s="74"/>
    </row>
    <row r="1397" spans="9:9" x14ac:dyDescent="0.25">
      <c r="I1397" s="74"/>
    </row>
    <row r="1398" spans="9:9" x14ac:dyDescent="0.25">
      <c r="I1398" s="74"/>
    </row>
    <row r="1399" spans="9:9" x14ac:dyDescent="0.25">
      <c r="I1399" s="74"/>
    </row>
    <row r="1400" spans="9:9" x14ac:dyDescent="0.25">
      <c r="I1400" s="74"/>
    </row>
    <row r="1401" spans="9:9" x14ac:dyDescent="0.25">
      <c r="I1401" s="74"/>
    </row>
    <row r="1402" spans="9:9" x14ac:dyDescent="0.25">
      <c r="I1402" s="74"/>
    </row>
    <row r="1403" spans="9:9" x14ac:dyDescent="0.25">
      <c r="I1403" s="74"/>
    </row>
    <row r="1404" spans="9:9" x14ac:dyDescent="0.25">
      <c r="I1404" s="74"/>
    </row>
    <row r="1405" spans="9:9" x14ac:dyDescent="0.25">
      <c r="I1405" s="74"/>
    </row>
    <row r="1406" spans="9:9" x14ac:dyDescent="0.25">
      <c r="I1406" s="74"/>
    </row>
    <row r="1407" spans="9:9" x14ac:dyDescent="0.25">
      <c r="I1407" s="74"/>
    </row>
    <row r="1408" spans="9:9" x14ac:dyDescent="0.25">
      <c r="I1408" s="74"/>
    </row>
    <row r="1409" spans="9:9" x14ac:dyDescent="0.25">
      <c r="I1409" s="74"/>
    </row>
    <row r="1410" spans="9:9" x14ac:dyDescent="0.25">
      <c r="I1410" s="74"/>
    </row>
    <row r="1411" spans="9:9" x14ac:dyDescent="0.25">
      <c r="I1411" s="74"/>
    </row>
    <row r="1412" spans="9:9" x14ac:dyDescent="0.25">
      <c r="I1412" s="74"/>
    </row>
    <row r="1413" spans="9:9" x14ac:dyDescent="0.25">
      <c r="I1413" s="74"/>
    </row>
    <row r="1414" spans="9:9" x14ac:dyDescent="0.25">
      <c r="I1414" s="74"/>
    </row>
    <row r="1415" spans="9:9" x14ac:dyDescent="0.25">
      <c r="I1415" s="74"/>
    </row>
    <row r="1416" spans="9:9" x14ac:dyDescent="0.25">
      <c r="I1416" s="74"/>
    </row>
    <row r="1417" spans="9:9" x14ac:dyDescent="0.25">
      <c r="I1417" s="74"/>
    </row>
    <row r="1418" spans="9:9" x14ac:dyDescent="0.25">
      <c r="I1418" s="74"/>
    </row>
    <row r="1419" spans="9:9" x14ac:dyDescent="0.25">
      <c r="I1419" s="74"/>
    </row>
    <row r="1420" spans="9:9" x14ac:dyDescent="0.25">
      <c r="I1420" s="74"/>
    </row>
    <row r="1421" spans="9:9" x14ac:dyDescent="0.25">
      <c r="I1421" s="74"/>
    </row>
    <row r="1422" spans="9:9" x14ac:dyDescent="0.25">
      <c r="I1422" s="74"/>
    </row>
    <row r="1423" spans="9:9" x14ac:dyDescent="0.25">
      <c r="I1423" s="74"/>
    </row>
    <row r="1424" spans="9:9" x14ac:dyDescent="0.25">
      <c r="I1424" s="74"/>
    </row>
    <row r="1425" spans="9:9" x14ac:dyDescent="0.25">
      <c r="I1425" s="74"/>
    </row>
    <row r="1426" spans="9:9" x14ac:dyDescent="0.25">
      <c r="I1426" s="74"/>
    </row>
    <row r="1427" spans="9:9" x14ac:dyDescent="0.25">
      <c r="I1427" s="74"/>
    </row>
    <row r="1428" spans="9:9" x14ac:dyDescent="0.25">
      <c r="I1428" s="74"/>
    </row>
    <row r="1429" spans="9:9" x14ac:dyDescent="0.25">
      <c r="I1429" s="74"/>
    </row>
    <row r="1430" spans="9:9" x14ac:dyDescent="0.25">
      <c r="I1430" s="74"/>
    </row>
    <row r="1431" spans="9:9" x14ac:dyDescent="0.25">
      <c r="I1431" s="74"/>
    </row>
    <row r="1432" spans="9:9" x14ac:dyDescent="0.25">
      <c r="I1432" s="74"/>
    </row>
    <row r="1433" spans="9:9" x14ac:dyDescent="0.25">
      <c r="I1433" s="74"/>
    </row>
    <row r="1434" spans="9:9" x14ac:dyDescent="0.25">
      <c r="I1434" s="74"/>
    </row>
    <row r="1435" spans="9:9" x14ac:dyDescent="0.25">
      <c r="I1435" s="74"/>
    </row>
    <row r="1436" spans="9:9" x14ac:dyDescent="0.25">
      <c r="I1436" s="74"/>
    </row>
    <row r="1437" spans="9:9" x14ac:dyDescent="0.25">
      <c r="I1437" s="74"/>
    </row>
    <row r="1438" spans="9:9" x14ac:dyDescent="0.25">
      <c r="I1438" s="74"/>
    </row>
    <row r="1439" spans="9:9" x14ac:dyDescent="0.25">
      <c r="I1439" s="74"/>
    </row>
    <row r="1440" spans="9:9" x14ac:dyDescent="0.25">
      <c r="I1440" s="74"/>
    </row>
    <row r="1441" spans="9:9" x14ac:dyDescent="0.25">
      <c r="I1441" s="74"/>
    </row>
    <row r="1442" spans="9:9" x14ac:dyDescent="0.25">
      <c r="I1442" s="74"/>
    </row>
    <row r="1443" spans="9:9" x14ac:dyDescent="0.25">
      <c r="I1443" s="74"/>
    </row>
    <row r="1444" spans="9:9" x14ac:dyDescent="0.25">
      <c r="I1444" s="74"/>
    </row>
    <row r="1445" spans="9:9" x14ac:dyDescent="0.25">
      <c r="I1445" s="74"/>
    </row>
    <row r="1446" spans="9:9" x14ac:dyDescent="0.25">
      <c r="I1446" s="74"/>
    </row>
    <row r="1447" spans="9:9" x14ac:dyDescent="0.25">
      <c r="I1447" s="74"/>
    </row>
    <row r="1448" spans="9:9" x14ac:dyDescent="0.25">
      <c r="I1448" s="74"/>
    </row>
    <row r="1449" spans="9:9" x14ac:dyDescent="0.25">
      <c r="I1449" s="74"/>
    </row>
    <row r="1450" spans="9:9" x14ac:dyDescent="0.25">
      <c r="I1450" s="74"/>
    </row>
    <row r="1451" spans="9:9" x14ac:dyDescent="0.25">
      <c r="I1451" s="74"/>
    </row>
    <row r="1452" spans="9:9" x14ac:dyDescent="0.25">
      <c r="I1452" s="74"/>
    </row>
    <row r="1453" spans="9:9" x14ac:dyDescent="0.25">
      <c r="I1453" s="74"/>
    </row>
    <row r="1454" spans="9:9" x14ac:dyDescent="0.25">
      <c r="I1454" s="74"/>
    </row>
    <row r="1455" spans="9:9" x14ac:dyDescent="0.25">
      <c r="I1455" s="74"/>
    </row>
    <row r="1456" spans="9:9" x14ac:dyDescent="0.25">
      <c r="I1456" s="74"/>
    </row>
    <row r="1457" spans="9:9" x14ac:dyDescent="0.25">
      <c r="I1457" s="74"/>
    </row>
    <row r="1458" spans="9:9" x14ac:dyDescent="0.25">
      <c r="I1458" s="74"/>
    </row>
    <row r="1459" spans="9:9" x14ac:dyDescent="0.25">
      <c r="I1459" s="74"/>
    </row>
    <row r="1460" spans="9:9" x14ac:dyDescent="0.25">
      <c r="I1460" s="74"/>
    </row>
    <row r="1461" spans="9:9" x14ac:dyDescent="0.25">
      <c r="I1461" s="74"/>
    </row>
    <row r="1462" spans="9:9" x14ac:dyDescent="0.25">
      <c r="I1462" s="74"/>
    </row>
    <row r="1463" spans="9:9" x14ac:dyDescent="0.25">
      <c r="I1463" s="74"/>
    </row>
    <row r="1464" spans="9:9" x14ac:dyDescent="0.25">
      <c r="I1464" s="74"/>
    </row>
    <row r="1465" spans="9:9" x14ac:dyDescent="0.25">
      <c r="I1465" s="74"/>
    </row>
    <row r="1466" spans="9:9" x14ac:dyDescent="0.25">
      <c r="I1466" s="74"/>
    </row>
    <row r="1467" spans="9:9" x14ac:dyDescent="0.25">
      <c r="I1467" s="74"/>
    </row>
    <row r="1468" spans="9:9" x14ac:dyDescent="0.25">
      <c r="I1468" s="74"/>
    </row>
    <row r="1469" spans="9:9" x14ac:dyDescent="0.25">
      <c r="I1469" s="74"/>
    </row>
    <row r="1470" spans="9:9" x14ac:dyDescent="0.25">
      <c r="I1470" s="74"/>
    </row>
    <row r="1471" spans="9:9" x14ac:dyDescent="0.25">
      <c r="I1471" s="74"/>
    </row>
    <row r="1472" spans="9:9" x14ac:dyDescent="0.25">
      <c r="I1472" s="74"/>
    </row>
    <row r="1473" spans="9:9" x14ac:dyDescent="0.25">
      <c r="I1473" s="74"/>
    </row>
    <row r="1474" spans="9:9" x14ac:dyDescent="0.25">
      <c r="I1474" s="74"/>
    </row>
    <row r="1475" spans="9:9" x14ac:dyDescent="0.25">
      <c r="I1475" s="74"/>
    </row>
    <row r="1476" spans="9:9" x14ac:dyDescent="0.25">
      <c r="I1476" s="74"/>
    </row>
    <row r="1477" spans="9:9" x14ac:dyDescent="0.25">
      <c r="I1477" s="74"/>
    </row>
    <row r="1478" spans="9:9" x14ac:dyDescent="0.25">
      <c r="I1478" s="74"/>
    </row>
    <row r="1479" spans="9:9" x14ac:dyDescent="0.25">
      <c r="I1479" s="74"/>
    </row>
    <row r="1480" spans="9:9" x14ac:dyDescent="0.25">
      <c r="I1480" s="74"/>
    </row>
    <row r="1481" spans="9:9" x14ac:dyDescent="0.25">
      <c r="I1481" s="74"/>
    </row>
    <row r="1482" spans="9:9" x14ac:dyDescent="0.25">
      <c r="I1482" s="74"/>
    </row>
    <row r="1483" spans="9:9" x14ac:dyDescent="0.25">
      <c r="I1483" s="74"/>
    </row>
    <row r="1484" spans="9:9" x14ac:dyDescent="0.25">
      <c r="I1484" s="74"/>
    </row>
    <row r="1485" spans="9:9" x14ac:dyDescent="0.25">
      <c r="I1485" s="74"/>
    </row>
    <row r="1486" spans="9:9" x14ac:dyDescent="0.25">
      <c r="I1486" s="74"/>
    </row>
    <row r="1487" spans="9:9" x14ac:dyDescent="0.25">
      <c r="I1487" s="74"/>
    </row>
    <row r="1488" spans="9:9" x14ac:dyDescent="0.25">
      <c r="I1488" s="74"/>
    </row>
    <row r="1489" spans="9:9" x14ac:dyDescent="0.25">
      <c r="I1489" s="74"/>
    </row>
    <row r="1490" spans="9:9" x14ac:dyDescent="0.25">
      <c r="I1490" s="74"/>
    </row>
    <row r="1491" spans="9:9" x14ac:dyDescent="0.25">
      <c r="I1491" s="74"/>
    </row>
    <row r="1492" spans="9:9" x14ac:dyDescent="0.25">
      <c r="I1492" s="74"/>
    </row>
    <row r="1493" spans="9:9" x14ac:dyDescent="0.25">
      <c r="I1493" s="74"/>
    </row>
    <row r="1494" spans="9:9" x14ac:dyDescent="0.25">
      <c r="I1494" s="74"/>
    </row>
    <row r="1495" spans="9:9" x14ac:dyDescent="0.25">
      <c r="I1495" s="74"/>
    </row>
    <row r="1496" spans="9:9" x14ac:dyDescent="0.25">
      <c r="I1496" s="74"/>
    </row>
    <row r="1497" spans="9:9" x14ac:dyDescent="0.25">
      <c r="I1497" s="74"/>
    </row>
    <row r="1498" spans="9:9" x14ac:dyDescent="0.25">
      <c r="I1498" s="74"/>
    </row>
    <row r="1499" spans="9:9" x14ac:dyDescent="0.25">
      <c r="I1499" s="74"/>
    </row>
    <row r="1500" spans="9:9" x14ac:dyDescent="0.25">
      <c r="I1500" s="74"/>
    </row>
    <row r="1501" spans="9:9" x14ac:dyDescent="0.25">
      <c r="I1501" s="74"/>
    </row>
    <row r="1502" spans="9:9" x14ac:dyDescent="0.25">
      <c r="I1502" s="74"/>
    </row>
    <row r="1503" spans="9:9" x14ac:dyDescent="0.25">
      <c r="I1503" s="74"/>
    </row>
    <row r="1504" spans="9:9" x14ac:dyDescent="0.25">
      <c r="I1504" s="74"/>
    </row>
    <row r="1505" spans="9:9" x14ac:dyDescent="0.25">
      <c r="I1505" s="74"/>
    </row>
    <row r="1506" spans="9:9" x14ac:dyDescent="0.25">
      <c r="I1506" s="74"/>
    </row>
    <row r="1507" spans="9:9" x14ac:dyDescent="0.25">
      <c r="I1507" s="74"/>
    </row>
    <row r="1508" spans="9:9" x14ac:dyDescent="0.25">
      <c r="I1508" s="74"/>
    </row>
    <row r="1509" spans="9:9" x14ac:dyDescent="0.25">
      <c r="I1509" s="74"/>
    </row>
    <row r="1510" spans="9:9" x14ac:dyDescent="0.25">
      <c r="I1510" s="74"/>
    </row>
    <row r="1511" spans="9:9" x14ac:dyDescent="0.25">
      <c r="I1511" s="74"/>
    </row>
    <row r="1512" spans="9:9" x14ac:dyDescent="0.25">
      <c r="I1512" s="74"/>
    </row>
    <row r="1513" spans="9:9" x14ac:dyDescent="0.25">
      <c r="I1513" s="74"/>
    </row>
    <row r="1514" spans="9:9" x14ac:dyDescent="0.25">
      <c r="I1514" s="74"/>
    </row>
    <row r="1515" spans="9:9" x14ac:dyDescent="0.25">
      <c r="I1515" s="74"/>
    </row>
    <row r="1516" spans="9:9" x14ac:dyDescent="0.25">
      <c r="I1516" s="74"/>
    </row>
    <row r="1517" spans="9:9" x14ac:dyDescent="0.25">
      <c r="I1517" s="74"/>
    </row>
    <row r="1518" spans="9:9" x14ac:dyDescent="0.25">
      <c r="I1518" s="74"/>
    </row>
    <row r="1519" spans="9:9" x14ac:dyDescent="0.25">
      <c r="I1519" s="74"/>
    </row>
    <row r="1520" spans="9:9" x14ac:dyDescent="0.25">
      <c r="I1520" s="74"/>
    </row>
    <row r="1521" spans="9:9" x14ac:dyDescent="0.25">
      <c r="I1521" s="74"/>
    </row>
    <row r="1522" spans="9:9" x14ac:dyDescent="0.25">
      <c r="I1522" s="74"/>
    </row>
    <row r="1523" spans="9:9" x14ac:dyDescent="0.25">
      <c r="I1523" s="74"/>
    </row>
    <row r="1524" spans="9:9" x14ac:dyDescent="0.25">
      <c r="I1524" s="74"/>
    </row>
    <row r="1525" spans="9:9" x14ac:dyDescent="0.25">
      <c r="I1525" s="74"/>
    </row>
    <row r="1526" spans="9:9" x14ac:dyDescent="0.25">
      <c r="I1526" s="74"/>
    </row>
    <row r="1527" spans="9:9" x14ac:dyDescent="0.25">
      <c r="I1527" s="74"/>
    </row>
    <row r="1528" spans="9:9" x14ac:dyDescent="0.25">
      <c r="I1528" s="74"/>
    </row>
    <row r="1529" spans="9:9" x14ac:dyDescent="0.25">
      <c r="I1529" s="74"/>
    </row>
    <row r="1530" spans="9:9" x14ac:dyDescent="0.25">
      <c r="I1530" s="74"/>
    </row>
    <row r="1531" spans="9:9" x14ac:dyDescent="0.25">
      <c r="I1531" s="74"/>
    </row>
    <row r="1532" spans="9:9" x14ac:dyDescent="0.25">
      <c r="I1532" s="74"/>
    </row>
    <row r="1533" spans="9:9" x14ac:dyDescent="0.25">
      <c r="I1533" s="74"/>
    </row>
    <row r="1534" spans="9:9" x14ac:dyDescent="0.25">
      <c r="I1534" s="74"/>
    </row>
    <row r="1535" spans="9:9" x14ac:dyDescent="0.25">
      <c r="I1535" s="74"/>
    </row>
    <row r="1536" spans="9:9" x14ac:dyDescent="0.25">
      <c r="I1536" s="74"/>
    </row>
    <row r="1537" spans="9:9" x14ac:dyDescent="0.25">
      <c r="I1537" s="74"/>
    </row>
    <row r="1538" spans="9:9" x14ac:dyDescent="0.25">
      <c r="I1538" s="74"/>
    </row>
    <row r="1539" spans="9:9" x14ac:dyDescent="0.25">
      <c r="I1539" s="74"/>
    </row>
    <row r="1540" spans="9:9" x14ac:dyDescent="0.25">
      <c r="I1540" s="74"/>
    </row>
    <row r="1541" spans="9:9" x14ac:dyDescent="0.25">
      <c r="I1541" s="74"/>
    </row>
    <row r="1542" spans="9:9" x14ac:dyDescent="0.25">
      <c r="I1542" s="74"/>
    </row>
    <row r="1543" spans="9:9" x14ac:dyDescent="0.25">
      <c r="I1543" s="74"/>
    </row>
    <row r="1544" spans="9:9" x14ac:dyDescent="0.25">
      <c r="I1544" s="74"/>
    </row>
    <row r="1545" spans="9:9" x14ac:dyDescent="0.25">
      <c r="I1545" s="74"/>
    </row>
    <row r="1546" spans="9:9" x14ac:dyDescent="0.25">
      <c r="I1546" s="74"/>
    </row>
    <row r="1547" spans="9:9" x14ac:dyDescent="0.25">
      <c r="I1547" s="74"/>
    </row>
    <row r="1548" spans="9:9" x14ac:dyDescent="0.25">
      <c r="I1548" s="74"/>
    </row>
    <row r="1549" spans="9:9" x14ac:dyDescent="0.25">
      <c r="I1549" s="74"/>
    </row>
    <row r="1550" spans="9:9" x14ac:dyDescent="0.25">
      <c r="I1550" s="74"/>
    </row>
    <row r="1551" spans="9:9" x14ac:dyDescent="0.25">
      <c r="I1551" s="74"/>
    </row>
    <row r="1552" spans="9:9" x14ac:dyDescent="0.25">
      <c r="I1552" s="74"/>
    </row>
    <row r="1553" spans="9:9" x14ac:dyDescent="0.25">
      <c r="I1553" s="74"/>
    </row>
    <row r="1554" spans="9:9" x14ac:dyDescent="0.25">
      <c r="I1554" s="74"/>
    </row>
    <row r="1555" spans="9:9" x14ac:dyDescent="0.25">
      <c r="I1555" s="74"/>
    </row>
    <row r="1556" spans="9:9" x14ac:dyDescent="0.25">
      <c r="I1556" s="74"/>
    </row>
    <row r="1557" spans="9:9" x14ac:dyDescent="0.25">
      <c r="I1557" s="74"/>
    </row>
    <row r="1558" spans="9:9" x14ac:dyDescent="0.25">
      <c r="I1558" s="74"/>
    </row>
    <row r="1559" spans="9:9" x14ac:dyDescent="0.25">
      <c r="I1559" s="74"/>
    </row>
    <row r="1560" spans="9:9" x14ac:dyDescent="0.25">
      <c r="I1560" s="74"/>
    </row>
    <row r="1561" spans="9:9" x14ac:dyDescent="0.25">
      <c r="I1561" s="74"/>
    </row>
    <row r="1562" spans="9:9" x14ac:dyDescent="0.25">
      <c r="I1562" s="74"/>
    </row>
    <row r="1563" spans="9:9" x14ac:dyDescent="0.25">
      <c r="I1563" s="74"/>
    </row>
    <row r="1564" spans="9:9" x14ac:dyDescent="0.25">
      <c r="I1564" s="74"/>
    </row>
    <row r="1565" spans="9:9" x14ac:dyDescent="0.25">
      <c r="I1565" s="74"/>
    </row>
    <row r="1566" spans="9:9" x14ac:dyDescent="0.25">
      <c r="I1566" s="74"/>
    </row>
    <row r="1567" spans="9:9" x14ac:dyDescent="0.25">
      <c r="I1567" s="74"/>
    </row>
    <row r="1568" spans="9:9" x14ac:dyDescent="0.25">
      <c r="I1568" s="74"/>
    </row>
    <row r="1569" spans="9:9" x14ac:dyDescent="0.25">
      <c r="I1569" s="74"/>
    </row>
    <row r="1570" spans="9:9" x14ac:dyDescent="0.25">
      <c r="I1570" s="74"/>
    </row>
    <row r="1571" spans="9:9" x14ac:dyDescent="0.25">
      <c r="I1571" s="74"/>
    </row>
    <row r="1572" spans="9:9" x14ac:dyDescent="0.25">
      <c r="I1572" s="74"/>
    </row>
    <row r="1573" spans="9:9" x14ac:dyDescent="0.25">
      <c r="I1573" s="74"/>
    </row>
    <row r="1574" spans="9:9" x14ac:dyDescent="0.25">
      <c r="I1574" s="74"/>
    </row>
    <row r="1575" spans="9:9" x14ac:dyDescent="0.25">
      <c r="I1575" s="74"/>
    </row>
    <row r="1576" spans="9:9" x14ac:dyDescent="0.25">
      <c r="I1576" s="74"/>
    </row>
    <row r="1577" spans="9:9" x14ac:dyDescent="0.25">
      <c r="I1577" s="74"/>
    </row>
    <row r="1578" spans="9:9" x14ac:dyDescent="0.25">
      <c r="I1578" s="74"/>
    </row>
    <row r="1579" spans="9:9" x14ac:dyDescent="0.25">
      <c r="I1579" s="74"/>
    </row>
    <row r="1580" spans="9:9" x14ac:dyDescent="0.25">
      <c r="I1580" s="74"/>
    </row>
    <row r="1581" spans="9:9" x14ac:dyDescent="0.25">
      <c r="I1581" s="74"/>
    </row>
    <row r="1582" spans="9:9" x14ac:dyDescent="0.25">
      <c r="I1582" s="74"/>
    </row>
    <row r="1583" spans="9:9" x14ac:dyDescent="0.25">
      <c r="I1583" s="74"/>
    </row>
    <row r="1584" spans="9:9" x14ac:dyDescent="0.25">
      <c r="I1584" s="74"/>
    </row>
    <row r="1585" spans="9:9" x14ac:dyDescent="0.25">
      <c r="I1585" s="74"/>
    </row>
    <row r="1586" spans="9:9" x14ac:dyDescent="0.25">
      <c r="I1586" s="74"/>
    </row>
    <row r="1587" spans="9:9" x14ac:dyDescent="0.25">
      <c r="I1587" s="74"/>
    </row>
    <row r="1588" spans="9:9" x14ac:dyDescent="0.25">
      <c r="I1588" s="74"/>
    </row>
    <row r="1589" spans="9:9" x14ac:dyDescent="0.25">
      <c r="I1589" s="74"/>
    </row>
    <row r="1590" spans="9:9" x14ac:dyDescent="0.25">
      <c r="I1590" s="74"/>
    </row>
    <row r="1591" spans="9:9" x14ac:dyDescent="0.25">
      <c r="I1591" s="74"/>
    </row>
    <row r="1592" spans="9:9" x14ac:dyDescent="0.25">
      <c r="I1592" s="74"/>
    </row>
    <row r="1593" spans="9:9" x14ac:dyDescent="0.25">
      <c r="I1593" s="74"/>
    </row>
    <row r="1594" spans="9:9" x14ac:dyDescent="0.25">
      <c r="I1594" s="74"/>
    </row>
    <row r="1595" spans="9:9" x14ac:dyDescent="0.25">
      <c r="I1595" s="74"/>
    </row>
    <row r="1596" spans="9:9" x14ac:dyDescent="0.25">
      <c r="I1596" s="74"/>
    </row>
    <row r="1597" spans="9:9" x14ac:dyDescent="0.25">
      <c r="I1597" s="74"/>
    </row>
    <row r="1598" spans="9:9" x14ac:dyDescent="0.25">
      <c r="I1598" s="74"/>
    </row>
    <row r="1599" spans="9:9" x14ac:dyDescent="0.25">
      <c r="I1599" s="74"/>
    </row>
    <row r="1600" spans="9:9" x14ac:dyDescent="0.25">
      <c r="I1600" s="74"/>
    </row>
    <row r="1601" spans="9:9" x14ac:dyDescent="0.25">
      <c r="I1601" s="74"/>
    </row>
    <row r="1602" spans="9:9" x14ac:dyDescent="0.25">
      <c r="I1602" s="74"/>
    </row>
    <row r="1603" spans="9:9" x14ac:dyDescent="0.25">
      <c r="I1603" s="74"/>
    </row>
    <row r="1604" spans="9:9" x14ac:dyDescent="0.25">
      <c r="I1604" s="74"/>
    </row>
    <row r="1605" spans="9:9" x14ac:dyDescent="0.25">
      <c r="I1605" s="74"/>
    </row>
    <row r="1606" spans="9:9" x14ac:dyDescent="0.25">
      <c r="I1606" s="74"/>
    </row>
    <row r="1607" spans="9:9" x14ac:dyDescent="0.25">
      <c r="I1607" s="74"/>
    </row>
    <row r="1608" spans="9:9" x14ac:dyDescent="0.25">
      <c r="I1608" s="74"/>
    </row>
    <row r="1609" spans="9:9" x14ac:dyDescent="0.25">
      <c r="I1609" s="74"/>
    </row>
    <row r="1610" spans="9:9" x14ac:dyDescent="0.25">
      <c r="I1610" s="74"/>
    </row>
    <row r="1611" spans="9:9" x14ac:dyDescent="0.25">
      <c r="I1611" s="74"/>
    </row>
    <row r="1612" spans="9:9" x14ac:dyDescent="0.25">
      <c r="I1612" s="74"/>
    </row>
    <row r="1613" spans="9:9" x14ac:dyDescent="0.25">
      <c r="I1613" s="74"/>
    </row>
    <row r="1614" spans="9:9" x14ac:dyDescent="0.25">
      <c r="I1614" s="74"/>
    </row>
    <row r="1615" spans="9:9" x14ac:dyDescent="0.25">
      <c r="I1615" s="74"/>
    </row>
    <row r="1616" spans="9:9" x14ac:dyDescent="0.25">
      <c r="I1616" s="74"/>
    </row>
    <row r="1617" spans="9:9" x14ac:dyDescent="0.25">
      <c r="I1617" s="74"/>
    </row>
    <row r="1618" spans="9:9" x14ac:dyDescent="0.25">
      <c r="I1618" s="74"/>
    </row>
    <row r="1619" spans="9:9" x14ac:dyDescent="0.25">
      <c r="I1619" s="74"/>
    </row>
    <row r="1620" spans="9:9" x14ac:dyDescent="0.25">
      <c r="I1620" s="74"/>
    </row>
    <row r="1621" spans="9:9" x14ac:dyDescent="0.25">
      <c r="I1621" s="74"/>
    </row>
    <row r="1622" spans="9:9" x14ac:dyDescent="0.25">
      <c r="I1622" s="74"/>
    </row>
    <row r="1623" spans="9:9" x14ac:dyDescent="0.25">
      <c r="I1623" s="74"/>
    </row>
    <row r="1624" spans="9:9" x14ac:dyDescent="0.25">
      <c r="I1624" s="74"/>
    </row>
    <row r="1625" spans="9:9" x14ac:dyDescent="0.25">
      <c r="I1625" s="74"/>
    </row>
    <row r="1626" spans="9:9" x14ac:dyDescent="0.25">
      <c r="I1626" s="74"/>
    </row>
    <row r="1627" spans="9:9" x14ac:dyDescent="0.25">
      <c r="I1627" s="74"/>
    </row>
    <row r="1628" spans="9:9" x14ac:dyDescent="0.25">
      <c r="I1628" s="74"/>
    </row>
    <row r="1629" spans="9:9" x14ac:dyDescent="0.25">
      <c r="I1629" s="74"/>
    </row>
    <row r="1630" spans="9:9" x14ac:dyDescent="0.25">
      <c r="I1630" s="74"/>
    </row>
    <row r="1631" spans="9:9" x14ac:dyDescent="0.25">
      <c r="I1631" s="74"/>
    </row>
    <row r="1632" spans="9:9" x14ac:dyDescent="0.25">
      <c r="I1632" s="74"/>
    </row>
    <row r="1633" spans="9:9" x14ac:dyDescent="0.25">
      <c r="I1633" s="74"/>
    </row>
    <row r="1634" spans="9:9" x14ac:dyDescent="0.25">
      <c r="I1634" s="74"/>
    </row>
    <row r="1635" spans="9:9" x14ac:dyDescent="0.25">
      <c r="I1635" s="74"/>
    </row>
    <row r="1636" spans="9:9" x14ac:dyDescent="0.25">
      <c r="I1636" s="74"/>
    </row>
    <row r="1637" spans="9:9" x14ac:dyDescent="0.25">
      <c r="I1637" s="74"/>
    </row>
    <row r="1638" spans="9:9" x14ac:dyDescent="0.25">
      <c r="I1638" s="74"/>
    </row>
    <row r="1639" spans="9:9" x14ac:dyDescent="0.25">
      <c r="I1639" s="74"/>
    </row>
    <row r="1640" spans="9:9" x14ac:dyDescent="0.25">
      <c r="I1640" s="74"/>
    </row>
    <row r="1641" spans="9:9" x14ac:dyDescent="0.25">
      <c r="I1641" s="74"/>
    </row>
    <row r="1642" spans="9:9" x14ac:dyDescent="0.25">
      <c r="I1642" s="74"/>
    </row>
    <row r="1643" spans="9:9" x14ac:dyDescent="0.25">
      <c r="I1643" s="74"/>
    </row>
    <row r="1644" spans="9:9" x14ac:dyDescent="0.25">
      <c r="I1644" s="74"/>
    </row>
    <row r="1645" spans="9:9" x14ac:dyDescent="0.25">
      <c r="I1645" s="74"/>
    </row>
    <row r="1646" spans="9:9" x14ac:dyDescent="0.25">
      <c r="I1646" s="74"/>
    </row>
    <row r="1647" spans="9:9" x14ac:dyDescent="0.25">
      <c r="I1647" s="74"/>
    </row>
    <row r="1648" spans="9:9" x14ac:dyDescent="0.25">
      <c r="I1648" s="74"/>
    </row>
    <row r="1649" spans="9:9" x14ac:dyDescent="0.25">
      <c r="I1649" s="74"/>
    </row>
    <row r="1650" spans="9:9" x14ac:dyDescent="0.25">
      <c r="I1650" s="74"/>
    </row>
    <row r="1651" spans="9:9" x14ac:dyDescent="0.25">
      <c r="I1651" s="74"/>
    </row>
    <row r="1652" spans="9:9" x14ac:dyDescent="0.25">
      <c r="I1652" s="74"/>
    </row>
    <row r="1653" spans="9:9" x14ac:dyDescent="0.25">
      <c r="I1653" s="74"/>
    </row>
    <row r="1654" spans="9:9" x14ac:dyDescent="0.25">
      <c r="I1654" s="74"/>
    </row>
    <row r="1655" spans="9:9" x14ac:dyDescent="0.25">
      <c r="I1655" s="74"/>
    </row>
    <row r="1656" spans="9:9" x14ac:dyDescent="0.25">
      <c r="I1656" s="74"/>
    </row>
    <row r="1657" spans="9:9" x14ac:dyDescent="0.25">
      <c r="I1657" s="74"/>
    </row>
    <row r="1658" spans="9:9" x14ac:dyDescent="0.25">
      <c r="I1658" s="74"/>
    </row>
    <row r="1659" spans="9:9" x14ac:dyDescent="0.25">
      <c r="I1659" s="74"/>
    </row>
    <row r="1660" spans="9:9" x14ac:dyDescent="0.25">
      <c r="I1660" s="74"/>
    </row>
    <row r="1661" spans="9:9" x14ac:dyDescent="0.25">
      <c r="I1661" s="74"/>
    </row>
    <row r="1662" spans="9:9" x14ac:dyDescent="0.25">
      <c r="I1662" s="74"/>
    </row>
    <row r="1663" spans="9:9" x14ac:dyDescent="0.25">
      <c r="I1663" s="74"/>
    </row>
    <row r="1664" spans="9:9" x14ac:dyDescent="0.25">
      <c r="I1664" s="74"/>
    </row>
    <row r="1665" spans="9:9" x14ac:dyDescent="0.25">
      <c r="I1665" s="74"/>
    </row>
    <row r="1666" spans="9:9" x14ac:dyDescent="0.25">
      <c r="I1666" s="74"/>
    </row>
    <row r="1667" spans="9:9" x14ac:dyDescent="0.25">
      <c r="I1667" s="74"/>
    </row>
    <row r="1668" spans="9:9" x14ac:dyDescent="0.25">
      <c r="I1668" s="74"/>
    </row>
    <row r="1669" spans="9:9" x14ac:dyDescent="0.25">
      <c r="I1669" s="74"/>
    </row>
    <row r="1670" spans="9:9" x14ac:dyDescent="0.25">
      <c r="I1670" s="74"/>
    </row>
    <row r="1671" spans="9:9" x14ac:dyDescent="0.25">
      <c r="I1671" s="74"/>
    </row>
    <row r="1672" spans="9:9" x14ac:dyDescent="0.25">
      <c r="I1672" s="74"/>
    </row>
    <row r="1673" spans="9:9" x14ac:dyDescent="0.25">
      <c r="I1673" s="74"/>
    </row>
    <row r="1674" spans="9:9" x14ac:dyDescent="0.25">
      <c r="I1674" s="74"/>
    </row>
    <row r="1675" spans="9:9" x14ac:dyDescent="0.25">
      <c r="I1675" s="74"/>
    </row>
    <row r="1676" spans="9:9" x14ac:dyDescent="0.25">
      <c r="I1676" s="74"/>
    </row>
    <row r="1677" spans="9:9" x14ac:dyDescent="0.25">
      <c r="I1677" s="74"/>
    </row>
    <row r="1678" spans="9:9" x14ac:dyDescent="0.25">
      <c r="I1678" s="74"/>
    </row>
    <row r="1679" spans="9:9" x14ac:dyDescent="0.25">
      <c r="I1679" s="74"/>
    </row>
    <row r="1680" spans="9:9" x14ac:dyDescent="0.25">
      <c r="I1680" s="74"/>
    </row>
    <row r="1681" spans="9:9" x14ac:dyDescent="0.25">
      <c r="I1681" s="74"/>
    </row>
    <row r="1682" spans="9:9" x14ac:dyDescent="0.25">
      <c r="I1682" s="74"/>
    </row>
    <row r="1683" spans="9:9" x14ac:dyDescent="0.25">
      <c r="I1683" s="74"/>
    </row>
    <row r="1684" spans="9:9" x14ac:dyDescent="0.25">
      <c r="I1684" s="74"/>
    </row>
    <row r="1685" spans="9:9" x14ac:dyDescent="0.25">
      <c r="I1685" s="74"/>
    </row>
    <row r="1686" spans="9:9" x14ac:dyDescent="0.25">
      <c r="I1686" s="74"/>
    </row>
    <row r="1687" spans="9:9" x14ac:dyDescent="0.25">
      <c r="I1687" s="74"/>
    </row>
    <row r="1688" spans="9:9" x14ac:dyDescent="0.25">
      <c r="I1688" s="74"/>
    </row>
    <row r="1689" spans="9:9" x14ac:dyDescent="0.25">
      <c r="I1689" s="74"/>
    </row>
    <row r="1690" spans="9:9" x14ac:dyDescent="0.25">
      <c r="I1690" s="74"/>
    </row>
    <row r="1691" spans="9:9" x14ac:dyDescent="0.25">
      <c r="I1691" s="74"/>
    </row>
    <row r="1692" spans="9:9" x14ac:dyDescent="0.25">
      <c r="I1692" s="74"/>
    </row>
    <row r="1693" spans="9:9" x14ac:dyDescent="0.25">
      <c r="I1693" s="74"/>
    </row>
    <row r="1694" spans="9:9" x14ac:dyDescent="0.25">
      <c r="I1694" s="74"/>
    </row>
    <row r="1695" spans="9:9" x14ac:dyDescent="0.25">
      <c r="I1695" s="74"/>
    </row>
    <row r="1696" spans="9:9" x14ac:dyDescent="0.25">
      <c r="I1696" s="74"/>
    </row>
    <row r="1697" spans="9:9" x14ac:dyDescent="0.25">
      <c r="I1697" s="74"/>
    </row>
    <row r="1698" spans="9:9" x14ac:dyDescent="0.25">
      <c r="I1698" s="74"/>
    </row>
    <row r="1699" spans="9:9" x14ac:dyDescent="0.25">
      <c r="I1699" s="74"/>
    </row>
    <row r="1700" spans="9:9" x14ac:dyDescent="0.25">
      <c r="I1700" s="74"/>
    </row>
    <row r="1701" spans="9:9" x14ac:dyDescent="0.25">
      <c r="I1701" s="74"/>
    </row>
    <row r="1702" spans="9:9" x14ac:dyDescent="0.25">
      <c r="I1702" s="74"/>
    </row>
    <row r="1703" spans="9:9" x14ac:dyDescent="0.25">
      <c r="I1703" s="74"/>
    </row>
    <row r="1704" spans="9:9" x14ac:dyDescent="0.25">
      <c r="I1704" s="74"/>
    </row>
    <row r="1705" spans="9:9" x14ac:dyDescent="0.25">
      <c r="I1705" s="74"/>
    </row>
    <row r="1706" spans="9:9" x14ac:dyDescent="0.25">
      <c r="I1706" s="74"/>
    </row>
    <row r="1707" spans="9:9" x14ac:dyDescent="0.25">
      <c r="I1707" s="74"/>
    </row>
    <row r="1708" spans="9:9" x14ac:dyDescent="0.25">
      <c r="I1708" s="74"/>
    </row>
    <row r="1709" spans="9:9" x14ac:dyDescent="0.25">
      <c r="I1709" s="74"/>
    </row>
    <row r="1710" spans="9:9" x14ac:dyDescent="0.25">
      <c r="I1710" s="74"/>
    </row>
    <row r="1711" spans="9:9" x14ac:dyDescent="0.25">
      <c r="I1711" s="74"/>
    </row>
    <row r="1712" spans="9:9" x14ac:dyDescent="0.25">
      <c r="I1712" s="74"/>
    </row>
    <row r="1713" spans="9:9" x14ac:dyDescent="0.25">
      <c r="I1713" s="74"/>
    </row>
    <row r="1714" spans="9:9" x14ac:dyDescent="0.25">
      <c r="I1714" s="74"/>
    </row>
    <row r="1715" spans="9:9" x14ac:dyDescent="0.25">
      <c r="I1715" s="74"/>
    </row>
    <row r="1716" spans="9:9" x14ac:dyDescent="0.25">
      <c r="I1716" s="74"/>
    </row>
    <row r="1717" spans="9:9" x14ac:dyDescent="0.25">
      <c r="I1717" s="74"/>
    </row>
    <row r="1718" spans="9:9" x14ac:dyDescent="0.25">
      <c r="I1718" s="74"/>
    </row>
    <row r="1719" spans="9:9" x14ac:dyDescent="0.25">
      <c r="I1719" s="74"/>
    </row>
    <row r="1720" spans="9:9" x14ac:dyDescent="0.25">
      <c r="I1720" s="74"/>
    </row>
    <row r="1721" spans="9:9" x14ac:dyDescent="0.25">
      <c r="I1721" s="74"/>
    </row>
    <row r="1722" spans="9:9" x14ac:dyDescent="0.25">
      <c r="I1722" s="74"/>
    </row>
    <row r="1723" spans="9:9" x14ac:dyDescent="0.25">
      <c r="I1723" s="74"/>
    </row>
    <row r="1724" spans="9:9" x14ac:dyDescent="0.25">
      <c r="I1724" s="74"/>
    </row>
    <row r="1725" spans="9:9" x14ac:dyDescent="0.25">
      <c r="I1725" s="74"/>
    </row>
    <row r="1726" spans="9:9" x14ac:dyDescent="0.25">
      <c r="I1726" s="74"/>
    </row>
    <row r="1727" spans="9:9" x14ac:dyDescent="0.25">
      <c r="I1727" s="74"/>
    </row>
    <row r="1728" spans="9:9" x14ac:dyDescent="0.25">
      <c r="I1728" s="74"/>
    </row>
    <row r="1729" spans="9:9" x14ac:dyDescent="0.25">
      <c r="I1729" s="74"/>
    </row>
    <row r="1730" spans="9:9" x14ac:dyDescent="0.25">
      <c r="I1730" s="74"/>
    </row>
    <row r="1731" spans="9:9" x14ac:dyDescent="0.25">
      <c r="I1731" s="74"/>
    </row>
    <row r="1732" spans="9:9" x14ac:dyDescent="0.25">
      <c r="I1732" s="74"/>
    </row>
    <row r="1733" spans="9:9" x14ac:dyDescent="0.25">
      <c r="I1733" s="74"/>
    </row>
    <row r="1734" spans="9:9" x14ac:dyDescent="0.25">
      <c r="I1734" s="74"/>
    </row>
    <row r="1735" spans="9:9" x14ac:dyDescent="0.25">
      <c r="I1735" s="74"/>
    </row>
    <row r="1736" spans="9:9" x14ac:dyDescent="0.25">
      <c r="I1736" s="74"/>
    </row>
    <row r="1737" spans="9:9" x14ac:dyDescent="0.25">
      <c r="I1737" s="74"/>
    </row>
    <row r="1738" spans="9:9" x14ac:dyDescent="0.25">
      <c r="I1738" s="74"/>
    </row>
    <row r="1739" spans="9:9" x14ac:dyDescent="0.25">
      <c r="I1739" s="74"/>
    </row>
    <row r="1740" spans="9:9" x14ac:dyDescent="0.25">
      <c r="I1740" s="74"/>
    </row>
    <row r="1741" spans="9:9" x14ac:dyDescent="0.25">
      <c r="I1741" s="74"/>
    </row>
    <row r="1742" spans="9:9" x14ac:dyDescent="0.25">
      <c r="I1742" s="74"/>
    </row>
    <row r="1743" spans="9:9" x14ac:dyDescent="0.25">
      <c r="I1743" s="74"/>
    </row>
    <row r="1744" spans="9:9" x14ac:dyDescent="0.25">
      <c r="I1744" s="74"/>
    </row>
    <row r="1745" spans="9:9" x14ac:dyDescent="0.25">
      <c r="I1745" s="74"/>
    </row>
    <row r="1746" spans="9:9" x14ac:dyDescent="0.25">
      <c r="I1746" s="74"/>
    </row>
    <row r="1747" spans="9:9" x14ac:dyDescent="0.25">
      <c r="I1747" s="74"/>
    </row>
    <row r="1748" spans="9:9" x14ac:dyDescent="0.25">
      <c r="I1748" s="74"/>
    </row>
    <row r="1749" spans="9:9" x14ac:dyDescent="0.25">
      <c r="I1749" s="74"/>
    </row>
    <row r="1750" spans="9:9" x14ac:dyDescent="0.25">
      <c r="I1750" s="74"/>
    </row>
    <row r="1751" spans="9:9" x14ac:dyDescent="0.25">
      <c r="I1751" s="74"/>
    </row>
    <row r="1752" spans="9:9" x14ac:dyDescent="0.25">
      <c r="I1752" s="74"/>
    </row>
    <row r="1753" spans="9:9" x14ac:dyDescent="0.25">
      <c r="I1753" s="74"/>
    </row>
    <row r="1754" spans="9:9" x14ac:dyDescent="0.25">
      <c r="I1754" s="74"/>
    </row>
    <row r="1755" spans="9:9" x14ac:dyDescent="0.25">
      <c r="I1755" s="74"/>
    </row>
    <row r="1756" spans="9:9" x14ac:dyDescent="0.25">
      <c r="I1756" s="74"/>
    </row>
    <row r="1757" spans="9:9" x14ac:dyDescent="0.25">
      <c r="I1757" s="74"/>
    </row>
    <row r="1758" spans="9:9" x14ac:dyDescent="0.25">
      <c r="I1758" s="74"/>
    </row>
    <row r="1759" spans="9:9" x14ac:dyDescent="0.25">
      <c r="I1759" s="74"/>
    </row>
    <row r="1760" spans="9:9" x14ac:dyDescent="0.25">
      <c r="I1760" s="74"/>
    </row>
    <row r="1761" spans="9:9" x14ac:dyDescent="0.25">
      <c r="I1761" s="74"/>
    </row>
    <row r="1762" spans="9:9" x14ac:dyDescent="0.25">
      <c r="I1762" s="74"/>
    </row>
    <row r="1763" spans="9:9" x14ac:dyDescent="0.25">
      <c r="I1763" s="74"/>
    </row>
    <row r="1764" spans="9:9" x14ac:dyDescent="0.25">
      <c r="I1764" s="74"/>
    </row>
    <row r="1765" spans="9:9" x14ac:dyDescent="0.25">
      <c r="I1765" s="74"/>
    </row>
    <row r="1766" spans="9:9" x14ac:dyDescent="0.25">
      <c r="I1766" s="74"/>
    </row>
    <row r="1767" spans="9:9" x14ac:dyDescent="0.25">
      <c r="I1767" s="74"/>
    </row>
    <row r="1768" spans="9:9" x14ac:dyDescent="0.25">
      <c r="I1768" s="74"/>
    </row>
    <row r="1769" spans="9:9" x14ac:dyDescent="0.25">
      <c r="I1769" s="74"/>
    </row>
    <row r="1770" spans="9:9" x14ac:dyDescent="0.25">
      <c r="I1770" s="74"/>
    </row>
    <row r="1771" spans="9:9" x14ac:dyDescent="0.25">
      <c r="I1771" s="74"/>
    </row>
    <row r="1772" spans="9:9" x14ac:dyDescent="0.25">
      <c r="I1772" s="74"/>
    </row>
    <row r="1773" spans="9:9" x14ac:dyDescent="0.25">
      <c r="I1773" s="74"/>
    </row>
    <row r="1774" spans="9:9" x14ac:dyDescent="0.25">
      <c r="I1774" s="74"/>
    </row>
    <row r="1775" spans="9:9" x14ac:dyDescent="0.25">
      <c r="I1775" s="74"/>
    </row>
    <row r="1776" spans="9:9" x14ac:dyDescent="0.25">
      <c r="I1776" s="74"/>
    </row>
    <row r="1777" spans="9:9" x14ac:dyDescent="0.25">
      <c r="I1777" s="74"/>
    </row>
    <row r="1778" spans="9:9" x14ac:dyDescent="0.25">
      <c r="I1778" s="74"/>
    </row>
    <row r="1779" spans="9:9" x14ac:dyDescent="0.25">
      <c r="I1779" s="74"/>
    </row>
    <row r="1780" spans="9:9" x14ac:dyDescent="0.25">
      <c r="I1780" s="74"/>
    </row>
    <row r="1781" spans="9:9" x14ac:dyDescent="0.25">
      <c r="I1781" s="74"/>
    </row>
    <row r="1782" spans="9:9" x14ac:dyDescent="0.25">
      <c r="I1782" s="74"/>
    </row>
    <row r="1783" spans="9:9" x14ac:dyDescent="0.25">
      <c r="I1783" s="74"/>
    </row>
    <row r="1784" spans="9:9" x14ac:dyDescent="0.25">
      <c r="I1784" s="74"/>
    </row>
    <row r="1785" spans="9:9" x14ac:dyDescent="0.25">
      <c r="I1785" s="74"/>
    </row>
    <row r="1786" spans="9:9" x14ac:dyDescent="0.25">
      <c r="I1786" s="74"/>
    </row>
    <row r="1787" spans="9:9" x14ac:dyDescent="0.25">
      <c r="I1787" s="74"/>
    </row>
    <row r="1788" spans="9:9" x14ac:dyDescent="0.25">
      <c r="I1788" s="74"/>
    </row>
    <row r="1789" spans="9:9" x14ac:dyDescent="0.25">
      <c r="I1789" s="74"/>
    </row>
    <row r="1790" spans="9:9" x14ac:dyDescent="0.25">
      <c r="I1790" s="74"/>
    </row>
    <row r="1791" spans="9:9" x14ac:dyDescent="0.25">
      <c r="I1791" s="74"/>
    </row>
    <row r="1792" spans="9:9" x14ac:dyDescent="0.25">
      <c r="I1792" s="74"/>
    </row>
    <row r="1793" spans="9:9" x14ac:dyDescent="0.25">
      <c r="I1793" s="74"/>
    </row>
    <row r="1794" spans="9:9" x14ac:dyDescent="0.25">
      <c r="I1794" s="74"/>
    </row>
    <row r="1795" spans="9:9" x14ac:dyDescent="0.25">
      <c r="I1795" s="74"/>
    </row>
    <row r="1796" spans="9:9" x14ac:dyDescent="0.25">
      <c r="I1796" s="74"/>
    </row>
    <row r="1797" spans="9:9" x14ac:dyDescent="0.25">
      <c r="I1797" s="74"/>
    </row>
    <row r="1798" spans="9:9" x14ac:dyDescent="0.25">
      <c r="I1798" s="74"/>
    </row>
    <row r="1799" spans="9:9" x14ac:dyDescent="0.25">
      <c r="I1799" s="74"/>
    </row>
    <row r="1800" spans="9:9" x14ac:dyDescent="0.25">
      <c r="I1800" s="74"/>
    </row>
    <row r="1801" spans="9:9" x14ac:dyDescent="0.25">
      <c r="I1801" s="74"/>
    </row>
    <row r="1802" spans="9:9" x14ac:dyDescent="0.25">
      <c r="I1802" s="74"/>
    </row>
    <row r="1803" spans="9:9" x14ac:dyDescent="0.25">
      <c r="I1803" s="74"/>
    </row>
    <row r="1804" spans="9:9" x14ac:dyDescent="0.25">
      <c r="I1804" s="74"/>
    </row>
    <row r="1805" spans="9:9" x14ac:dyDescent="0.25">
      <c r="I1805" s="74"/>
    </row>
    <row r="1806" spans="9:9" x14ac:dyDescent="0.25">
      <c r="I1806" s="74"/>
    </row>
    <row r="1807" spans="9:9" x14ac:dyDescent="0.25">
      <c r="I1807" s="74"/>
    </row>
    <row r="1808" spans="9:9" x14ac:dyDescent="0.25">
      <c r="I1808" s="74"/>
    </row>
    <row r="1809" spans="9:9" x14ac:dyDescent="0.25">
      <c r="I1809" s="74"/>
    </row>
    <row r="1810" spans="9:9" x14ac:dyDescent="0.25">
      <c r="I1810" s="74"/>
    </row>
    <row r="1811" spans="9:9" x14ac:dyDescent="0.25">
      <c r="I1811" s="74"/>
    </row>
    <row r="1812" spans="9:9" x14ac:dyDescent="0.25">
      <c r="I1812" s="74"/>
    </row>
    <row r="1813" spans="9:9" x14ac:dyDescent="0.25">
      <c r="I1813" s="74"/>
    </row>
    <row r="1814" spans="9:9" x14ac:dyDescent="0.25">
      <c r="I1814" s="74"/>
    </row>
    <row r="1815" spans="9:9" x14ac:dyDescent="0.25">
      <c r="I1815" s="74"/>
    </row>
    <row r="1816" spans="9:9" x14ac:dyDescent="0.25">
      <c r="I1816" s="74"/>
    </row>
    <row r="1817" spans="9:9" x14ac:dyDescent="0.25">
      <c r="I1817" s="74"/>
    </row>
  </sheetData>
  <mergeCells count="4">
    <mergeCell ref="A1:J1"/>
    <mergeCell ref="K76:T76"/>
    <mergeCell ref="I203:J203"/>
    <mergeCell ref="K13:T13"/>
  </mergeCells>
  <conditionalFormatting sqref="I194:Y194">
    <cfRule type="cellIs" dxfId="10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1"/>
  <sheetViews>
    <sheetView view="pageBreakPreview" zoomScale="86" zoomScaleNormal="100" zoomScaleSheetLayoutView="86" workbookViewId="0">
      <pane ySplit="14" topLeftCell="A261" activePane="bottomLeft" state="frozen"/>
      <selection pane="bottomLeft" sqref="A1:G1"/>
    </sheetView>
  </sheetViews>
  <sheetFormatPr defaultColWidth="9.109375" defaultRowHeight="13.2" x14ac:dyDescent="0.25"/>
  <cols>
    <col min="1" max="1" width="6.332031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5" style="49" customWidth="1"/>
    <col min="8" max="17" width="10.109375" style="49" hidden="1" customWidth="1"/>
    <col min="18" max="19" width="14.33203125" style="49" hidden="1" customWidth="1"/>
    <col min="20" max="23" width="10.109375" style="49" hidden="1" customWidth="1"/>
    <col min="24" max="24" width="1.664062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v>1.41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765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838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96" t="s">
        <v>639</v>
      </c>
      <c r="D81" s="297">
        <v>12</v>
      </c>
      <c r="E81" s="298">
        <v>3246.3262411347519</v>
      </c>
      <c r="F81" s="45">
        <f>D81*E81</f>
        <v>38955.914893617024</v>
      </c>
      <c r="G81" s="46">
        <f>F81*C4</f>
        <v>54927.840000000004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-38955.914893617024</v>
      </c>
      <c r="T81" s="231">
        <f>IF(F81=0,0,S81/F81)</f>
        <v>-1</v>
      </c>
      <c r="U81" s="225">
        <f>R81*$C$4</f>
        <v>0</v>
      </c>
      <c r="V81" s="225">
        <f>U81-G81</f>
        <v>-54927.840000000004</v>
      </c>
      <c r="W81" s="231">
        <f>IF(G81=0,0,V81/G81)</f>
        <v>-1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x14ac:dyDescent="0.25">
      <c r="A83" s="206" t="s">
        <v>80</v>
      </c>
      <c r="B83" s="299" t="s">
        <v>640</v>
      </c>
      <c r="C83" s="296" t="s">
        <v>639</v>
      </c>
      <c r="D83" s="297">
        <v>12</v>
      </c>
      <c r="E83" s="298">
        <v>882</v>
      </c>
      <c r="F83" s="47">
        <f t="shared" ref="F83:F88" si="0">D83*E83</f>
        <v>10584</v>
      </c>
      <c r="G83" s="46">
        <f>F83*C4</f>
        <v>14923.439999999999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60" si="1">R83-F83</f>
        <v>-10584</v>
      </c>
      <c r="T83" s="231">
        <f t="shared" ref="T83:T160" si="2">IF(F83=0,0,S83/F83)</f>
        <v>-1</v>
      </c>
      <c r="U83" s="225">
        <f t="shared" ref="U83:U160" si="3">R83*$C$4</f>
        <v>0</v>
      </c>
      <c r="V83" s="225">
        <f t="shared" ref="V83:V160" si="4">U83-G83</f>
        <v>-14923.439999999999</v>
      </c>
      <c r="W83" s="231">
        <f t="shared" ref="W83:W160" si="5">IF(G83=0,0,V83/G83)</f>
        <v>-1</v>
      </c>
      <c r="X83" s="231"/>
    </row>
    <row r="84" spans="1:24" x14ac:dyDescent="0.25">
      <c r="A84" s="207" t="s">
        <v>83</v>
      </c>
      <c r="B84" s="299" t="s">
        <v>641</v>
      </c>
      <c r="C84" s="296" t="s">
        <v>639</v>
      </c>
      <c r="D84" s="297">
        <v>12</v>
      </c>
      <c r="E84" s="298">
        <v>822</v>
      </c>
      <c r="F84" s="47">
        <f t="shared" si="0"/>
        <v>9864</v>
      </c>
      <c r="G84" s="46">
        <f>F84*C4</f>
        <v>13908.24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-9864</v>
      </c>
      <c r="T84" s="231">
        <f t="shared" si="2"/>
        <v>-1</v>
      </c>
      <c r="U84" s="225">
        <f t="shared" si="3"/>
        <v>0</v>
      </c>
      <c r="V84" s="225">
        <f t="shared" si="4"/>
        <v>-13908.24</v>
      </c>
      <c r="W84" s="231">
        <f t="shared" si="5"/>
        <v>-1</v>
      </c>
      <c r="X84" s="231"/>
    </row>
    <row r="85" spans="1:24" x14ac:dyDescent="0.25">
      <c r="A85" s="207" t="s">
        <v>84</v>
      </c>
      <c r="B85" s="299" t="s">
        <v>642</v>
      </c>
      <c r="C85" s="296" t="s">
        <v>639</v>
      </c>
      <c r="D85" s="297">
        <v>12</v>
      </c>
      <c r="E85" s="298">
        <v>640</v>
      </c>
      <c r="F85" s="47">
        <f t="shared" si="0"/>
        <v>7680</v>
      </c>
      <c r="G85" s="46">
        <f>F85*C4</f>
        <v>10828.8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-7680</v>
      </c>
      <c r="T85" s="231">
        <f t="shared" si="2"/>
        <v>-1</v>
      </c>
      <c r="U85" s="225">
        <f t="shared" si="3"/>
        <v>0</v>
      </c>
      <c r="V85" s="225">
        <f t="shared" si="4"/>
        <v>-10828.8</v>
      </c>
      <c r="W85" s="231">
        <f t="shared" si="5"/>
        <v>-1</v>
      </c>
      <c r="X85" s="231"/>
    </row>
    <row r="86" spans="1:24" hidden="1" x14ac:dyDescent="0.25">
      <c r="A86" s="207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207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207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204"/>
      <c r="B89" s="205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299" t="s">
        <v>643</v>
      </c>
      <c r="C91" s="296" t="s">
        <v>639</v>
      </c>
      <c r="D91" s="297">
        <v>10</v>
      </c>
      <c r="E91" s="298">
        <v>1960</v>
      </c>
      <c r="F91" s="48">
        <f t="shared" ref="F91:F99" si="6">D91*E91</f>
        <v>19600</v>
      </c>
      <c r="G91" s="49">
        <f>F91*C4</f>
        <v>27636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-19600</v>
      </c>
      <c r="T91" s="231">
        <f t="shared" si="2"/>
        <v>-1</v>
      </c>
      <c r="U91" s="225">
        <f t="shared" si="3"/>
        <v>0</v>
      </c>
      <c r="V91" s="225">
        <f t="shared" si="4"/>
        <v>-27636</v>
      </c>
      <c r="W91" s="231">
        <f t="shared" si="5"/>
        <v>-1</v>
      </c>
      <c r="X91" s="231"/>
    </row>
    <row r="92" spans="1:24" x14ac:dyDescent="0.25">
      <c r="A92" s="144" t="s">
        <v>88</v>
      </c>
      <c r="B92" s="299" t="s">
        <v>644</v>
      </c>
      <c r="C92" s="296" t="s">
        <v>639</v>
      </c>
      <c r="D92" s="297">
        <v>10</v>
      </c>
      <c r="E92" s="298">
        <v>1960</v>
      </c>
      <c r="F92" s="48">
        <f t="shared" si="6"/>
        <v>19600</v>
      </c>
      <c r="G92" s="49">
        <f>F92*C4</f>
        <v>27636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-19600</v>
      </c>
      <c r="T92" s="231">
        <f t="shared" si="2"/>
        <v>-1</v>
      </c>
      <c r="U92" s="225">
        <f t="shared" si="3"/>
        <v>0</v>
      </c>
      <c r="V92" s="225">
        <f t="shared" si="4"/>
        <v>-27636</v>
      </c>
      <c r="W92" s="231">
        <f t="shared" si="5"/>
        <v>-1</v>
      </c>
      <c r="X92" s="231"/>
    </row>
    <row r="93" spans="1:24" x14ac:dyDescent="0.25">
      <c r="A93" s="144" t="s">
        <v>89</v>
      </c>
      <c r="B93" s="299" t="s">
        <v>645</v>
      </c>
      <c r="C93" s="296" t="s">
        <v>639</v>
      </c>
      <c r="D93" s="297">
        <v>12</v>
      </c>
      <c r="E93" s="298">
        <v>1800</v>
      </c>
      <c r="F93" s="48">
        <f t="shared" si="6"/>
        <v>21600</v>
      </c>
      <c r="G93" s="49">
        <f>F93*C4</f>
        <v>30456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-21600</v>
      </c>
      <c r="T93" s="231">
        <f t="shared" si="2"/>
        <v>-1</v>
      </c>
      <c r="U93" s="225">
        <f t="shared" si="3"/>
        <v>0</v>
      </c>
      <c r="V93" s="225">
        <f t="shared" si="4"/>
        <v>-30456</v>
      </c>
      <c r="W93" s="231">
        <f t="shared" si="5"/>
        <v>-1</v>
      </c>
      <c r="X93" s="231"/>
    </row>
    <row r="94" spans="1:24" x14ac:dyDescent="0.25">
      <c r="A94" s="144" t="s">
        <v>90</v>
      </c>
      <c r="B94" s="299" t="s">
        <v>646</v>
      </c>
      <c r="C94" s="296" t="s">
        <v>639</v>
      </c>
      <c r="D94" s="297">
        <v>12</v>
      </c>
      <c r="E94" s="298">
        <v>1800</v>
      </c>
      <c r="F94" s="48">
        <f t="shared" si="6"/>
        <v>21600</v>
      </c>
      <c r="G94" s="49">
        <f>F94*C4</f>
        <v>30456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-21600</v>
      </c>
      <c r="T94" s="231">
        <f t="shared" si="2"/>
        <v>-1</v>
      </c>
      <c r="U94" s="225">
        <f t="shared" si="3"/>
        <v>0</v>
      </c>
      <c r="V94" s="225">
        <f t="shared" si="4"/>
        <v>-30456</v>
      </c>
      <c r="W94" s="231">
        <f t="shared" si="5"/>
        <v>-1</v>
      </c>
      <c r="X94" s="231"/>
    </row>
    <row r="95" spans="1:24" x14ac:dyDescent="0.25">
      <c r="A95" s="144" t="s">
        <v>91</v>
      </c>
      <c r="B95" s="299" t="s">
        <v>647</v>
      </c>
      <c r="C95" s="296" t="s">
        <v>639</v>
      </c>
      <c r="D95" s="297">
        <v>8</v>
      </c>
      <c r="E95" s="298">
        <v>1800</v>
      </c>
      <c r="F95" s="48">
        <f t="shared" si="6"/>
        <v>14400</v>
      </c>
      <c r="G95" s="49">
        <f>F95*$C$4</f>
        <v>20304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-14400</v>
      </c>
      <c r="T95" s="231">
        <f t="shared" si="2"/>
        <v>-1</v>
      </c>
      <c r="U95" s="225">
        <f t="shared" si="3"/>
        <v>0</v>
      </c>
      <c r="V95" s="225">
        <f t="shared" si="4"/>
        <v>-20304</v>
      </c>
      <c r="W95" s="231">
        <f t="shared" si="5"/>
        <v>-1</v>
      </c>
      <c r="X95" s="231"/>
    </row>
    <row r="96" spans="1:24" x14ac:dyDescent="0.25">
      <c r="A96" s="144" t="s">
        <v>92</v>
      </c>
      <c r="B96" s="299" t="s">
        <v>648</v>
      </c>
      <c r="C96" s="296" t="s">
        <v>639</v>
      </c>
      <c r="D96" s="297">
        <v>12</v>
      </c>
      <c r="E96" s="298">
        <v>1800</v>
      </c>
      <c r="F96" s="48">
        <f t="shared" si="6"/>
        <v>21600</v>
      </c>
      <c r="G96" s="49">
        <f>F96*$C$4</f>
        <v>30456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/>
      <c r="T96" s="231"/>
      <c r="U96" s="225"/>
      <c r="V96" s="225"/>
      <c r="W96" s="231"/>
      <c r="X96" s="231"/>
    </row>
    <row r="97" spans="1:24" x14ac:dyDescent="0.25">
      <c r="A97" s="144" t="s">
        <v>520</v>
      </c>
      <c r="B97" s="299" t="s">
        <v>649</v>
      </c>
      <c r="C97" s="296" t="s">
        <v>652</v>
      </c>
      <c r="D97" s="297">
        <v>10</v>
      </c>
      <c r="E97" s="298">
        <v>2600</v>
      </c>
      <c r="F97" s="48">
        <f t="shared" si="6"/>
        <v>26000</v>
      </c>
      <c r="G97" s="49">
        <f>F97*$C$4</f>
        <v>36660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51"/>
      <c r="R97" s="262"/>
      <c r="S97" s="225"/>
      <c r="T97" s="231"/>
      <c r="U97" s="225"/>
      <c r="V97" s="225"/>
      <c r="W97" s="231"/>
      <c r="X97" s="231"/>
    </row>
    <row r="98" spans="1:24" x14ac:dyDescent="0.25">
      <c r="A98" s="144" t="s">
        <v>521</v>
      </c>
      <c r="B98" s="299" t="s">
        <v>650</v>
      </c>
      <c r="C98" s="296" t="s">
        <v>639</v>
      </c>
      <c r="D98" s="297">
        <v>12</v>
      </c>
      <c r="E98" s="298">
        <v>700</v>
      </c>
      <c r="F98" s="48">
        <f t="shared" si="6"/>
        <v>8400</v>
      </c>
      <c r="G98" s="49">
        <f>F98*$C$4</f>
        <v>11844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51"/>
      <c r="R98" s="262"/>
      <c r="S98" s="225"/>
      <c r="T98" s="231"/>
      <c r="U98" s="225"/>
      <c r="V98" s="225"/>
      <c r="W98" s="231"/>
      <c r="X98" s="231"/>
    </row>
    <row r="99" spans="1:24" x14ac:dyDescent="0.25">
      <c r="A99" s="144" t="s">
        <v>522</v>
      </c>
      <c r="B99" s="299" t="s">
        <v>651</v>
      </c>
      <c r="C99" s="296" t="s">
        <v>639</v>
      </c>
      <c r="D99" s="297">
        <v>12</v>
      </c>
      <c r="E99" s="298">
        <v>1200</v>
      </c>
      <c r="F99" s="48">
        <f t="shared" si="6"/>
        <v>14400</v>
      </c>
      <c r="G99" s="49">
        <f>F99*$C$4</f>
        <v>20304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51"/>
      <c r="R99" s="262"/>
      <c r="S99" s="225">
        <f t="shared" si="1"/>
        <v>-14400</v>
      </c>
      <c r="T99" s="231">
        <f t="shared" si="2"/>
        <v>-1</v>
      </c>
      <c r="U99" s="225">
        <f t="shared" si="3"/>
        <v>0</v>
      </c>
      <c r="V99" s="225">
        <f t="shared" si="4"/>
        <v>-20304</v>
      </c>
      <c r="W99" s="231">
        <f t="shared" si="5"/>
        <v>-1</v>
      </c>
      <c r="X99" s="231"/>
    </row>
    <row r="100" spans="1:24" x14ac:dyDescent="0.25">
      <c r="A100" s="87"/>
      <c r="B100" s="145"/>
      <c r="C100" s="10"/>
      <c r="D100" s="11"/>
      <c r="E100" s="12"/>
      <c r="F100" s="48"/>
      <c r="G100" s="87"/>
      <c r="H100" s="241"/>
      <c r="I100" s="241"/>
      <c r="J100" s="241"/>
      <c r="K100" s="241"/>
      <c r="L100" s="241"/>
      <c r="M100" s="241"/>
      <c r="N100" s="241"/>
      <c r="O100" s="241"/>
      <c r="P100" s="241"/>
      <c r="Q100" s="252"/>
      <c r="R100" s="258"/>
      <c r="S100" s="225"/>
      <c r="T100" s="231"/>
      <c r="U100" s="225"/>
      <c r="V100" s="225"/>
      <c r="W100" s="231"/>
      <c r="X100" s="231"/>
    </row>
    <row r="101" spans="1:24" hidden="1" x14ac:dyDescent="0.25">
      <c r="A101" s="194"/>
      <c r="B101" s="195" t="s">
        <v>185</v>
      </c>
      <c r="C101" s="196"/>
      <c r="D101" s="197"/>
      <c r="E101" s="198"/>
      <c r="F101" s="199">
        <f>SUM(F83:F89)</f>
        <v>28128</v>
      </c>
      <c r="G101" s="194">
        <f>SUM(G83:G89)</f>
        <v>39660.479999999996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>
        <f t="shared" si="1"/>
        <v>-28128</v>
      </c>
      <c r="T101" s="231">
        <f t="shared" si="2"/>
        <v>-1</v>
      </c>
      <c r="U101" s="225">
        <f t="shared" si="3"/>
        <v>0</v>
      </c>
      <c r="V101" s="225">
        <f t="shared" si="4"/>
        <v>-39660.479999999996</v>
      </c>
      <c r="W101" s="231">
        <f t="shared" si="5"/>
        <v>-1</v>
      </c>
      <c r="X101" s="231"/>
    </row>
    <row r="102" spans="1:24" hidden="1" x14ac:dyDescent="0.25">
      <c r="A102" s="194"/>
      <c r="B102" s="195" t="s">
        <v>184</v>
      </c>
      <c r="C102" s="196"/>
      <c r="D102" s="197"/>
      <c r="E102" s="198"/>
      <c r="F102" s="199">
        <f>SUM(F91:F100)</f>
        <v>167200</v>
      </c>
      <c r="G102" s="194">
        <f>SUM(G91:G100)</f>
        <v>235752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58"/>
      <c r="S102" s="225">
        <f t="shared" si="1"/>
        <v>-167200</v>
      </c>
      <c r="T102" s="231">
        <f t="shared" si="2"/>
        <v>-1</v>
      </c>
      <c r="U102" s="225">
        <f t="shared" si="3"/>
        <v>0</v>
      </c>
      <c r="V102" s="225">
        <f t="shared" si="4"/>
        <v>-235752</v>
      </c>
      <c r="W102" s="231">
        <f t="shared" si="5"/>
        <v>-1</v>
      </c>
      <c r="X102" s="231"/>
    </row>
    <row r="103" spans="1:24" ht="13.8" thickBot="1" x14ac:dyDescent="0.3">
      <c r="A103" s="99"/>
      <c r="B103" s="146" t="s">
        <v>79</v>
      </c>
      <c r="C103" s="118"/>
      <c r="D103" s="122"/>
      <c r="E103" s="123"/>
      <c r="F103" s="50">
        <f>SUM(F81:F99)</f>
        <v>234283.91489361704</v>
      </c>
      <c r="G103" s="50">
        <f>SUM(G81:G99)</f>
        <v>330340.32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53"/>
      <c r="R103" s="263"/>
      <c r="S103" s="237">
        <f t="shared" si="1"/>
        <v>-234283.91489361704</v>
      </c>
      <c r="T103" s="238">
        <f t="shared" si="2"/>
        <v>-1</v>
      </c>
      <c r="U103" s="237">
        <f t="shared" si="3"/>
        <v>0</v>
      </c>
      <c r="V103" s="237">
        <f t="shared" si="4"/>
        <v>-330340.32</v>
      </c>
      <c r="W103" s="238">
        <f t="shared" si="5"/>
        <v>-1</v>
      </c>
      <c r="X103" s="238"/>
    </row>
    <row r="104" spans="1:24" ht="13.8" thickTop="1" x14ac:dyDescent="0.25">
      <c r="A104" s="87"/>
      <c r="B104" s="70"/>
      <c r="C104" s="81"/>
      <c r="D104" s="82"/>
      <c r="E104" s="86"/>
      <c r="F104" s="86"/>
      <c r="G104" s="87"/>
      <c r="H104" s="241"/>
      <c r="I104" s="241"/>
      <c r="J104" s="241"/>
      <c r="K104" s="241"/>
      <c r="L104" s="241"/>
      <c r="M104" s="241"/>
      <c r="N104" s="241"/>
      <c r="O104" s="241"/>
      <c r="P104" s="241"/>
      <c r="Q104" s="252"/>
      <c r="R104" s="258"/>
      <c r="S104" s="225"/>
      <c r="T104" s="231"/>
      <c r="U104" s="225"/>
      <c r="V104" s="225"/>
      <c r="W104" s="231"/>
      <c r="X104" s="231"/>
    </row>
    <row r="105" spans="1:24" x14ac:dyDescent="0.25">
      <c r="A105" s="125">
        <v>2</v>
      </c>
      <c r="B105" s="126" t="s">
        <v>93</v>
      </c>
      <c r="C105" s="130"/>
      <c r="D105" s="129"/>
      <c r="E105" s="131"/>
      <c r="F105" s="131"/>
      <c r="G105" s="147"/>
      <c r="H105" s="241"/>
      <c r="I105" s="241"/>
      <c r="J105" s="241"/>
      <c r="K105" s="241"/>
      <c r="L105" s="241"/>
      <c r="M105" s="241"/>
      <c r="N105" s="241"/>
      <c r="O105" s="241"/>
      <c r="P105" s="241"/>
      <c r="Q105" s="252"/>
      <c r="R105" s="260"/>
      <c r="S105" s="230"/>
      <c r="T105" s="232"/>
      <c r="U105" s="230"/>
      <c r="V105" s="230"/>
      <c r="W105" s="232"/>
      <c r="X105" s="232"/>
    </row>
    <row r="106" spans="1:24" hidden="1" x14ac:dyDescent="0.25">
      <c r="A106" s="220" t="s">
        <v>94</v>
      </c>
      <c r="B106" s="221" t="s">
        <v>66</v>
      </c>
      <c r="C106" s="217"/>
      <c r="D106" s="218"/>
      <c r="E106" s="219"/>
      <c r="F106" s="208">
        <f>SUM(F107:F111)</f>
        <v>0</v>
      </c>
      <c r="G106" s="209">
        <f>SUM(G107:G111)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39">
        <f t="shared" si="1"/>
        <v>0</v>
      </c>
      <c r="T106" s="240">
        <f t="shared" si="2"/>
        <v>0</v>
      </c>
      <c r="U106" s="239">
        <f t="shared" si="3"/>
        <v>0</v>
      </c>
      <c r="V106" s="239">
        <f t="shared" si="4"/>
        <v>0</v>
      </c>
      <c r="W106" s="240">
        <f t="shared" si="5"/>
        <v>0</v>
      </c>
      <c r="X106" s="240"/>
    </row>
    <row r="107" spans="1:24" hidden="1" x14ac:dyDescent="0.25">
      <c r="A107" s="148" t="s">
        <v>195</v>
      </c>
      <c r="B107" s="106" t="s">
        <v>249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196</v>
      </c>
      <c r="B108" s="106" t="s">
        <v>250</v>
      </c>
      <c r="C108" s="28"/>
      <c r="D108" s="29"/>
      <c r="E108" s="30"/>
      <c r="F108" s="48">
        <f>D108*E108</f>
        <v>0</v>
      </c>
      <c r="G108" s="49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hidden="1" x14ac:dyDescent="0.25">
      <c r="A109" s="148" t="s">
        <v>197</v>
      </c>
      <c r="B109" s="106" t="s">
        <v>251</v>
      </c>
      <c r="C109" s="28"/>
      <c r="D109" s="29"/>
      <c r="E109" s="30"/>
      <c r="F109" s="48">
        <f>D109*E109</f>
        <v>0</v>
      </c>
      <c r="G109" s="49">
        <f>F109*C4</f>
        <v>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25">
        <f t="shared" si="1"/>
        <v>0</v>
      </c>
      <c r="T109" s="231">
        <f t="shared" si="2"/>
        <v>0</v>
      </c>
      <c r="U109" s="225">
        <f t="shared" si="3"/>
        <v>0</v>
      </c>
      <c r="V109" s="225">
        <f t="shared" si="4"/>
        <v>0</v>
      </c>
      <c r="W109" s="231">
        <f t="shared" si="5"/>
        <v>0</v>
      </c>
      <c r="X109" s="231"/>
    </row>
    <row r="110" spans="1:24" hidden="1" x14ac:dyDescent="0.25">
      <c r="A110" s="148" t="s">
        <v>198</v>
      </c>
      <c r="B110" s="106" t="s">
        <v>252</v>
      </c>
      <c r="C110" s="28"/>
      <c r="D110" s="29"/>
      <c r="E110" s="30"/>
      <c r="F110" s="48">
        <f>D110*E110</f>
        <v>0</v>
      </c>
      <c r="G110" s="49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hidden="1" x14ac:dyDescent="0.25">
      <c r="A111" s="148" t="s">
        <v>199</v>
      </c>
      <c r="B111" s="106" t="s">
        <v>253</v>
      </c>
      <c r="C111" s="28"/>
      <c r="D111" s="29"/>
      <c r="E111" s="30"/>
      <c r="F111" s="48">
        <f>D111*E111</f>
        <v>0</v>
      </c>
      <c r="G111" s="49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220" t="s">
        <v>95</v>
      </c>
      <c r="B112" s="221" t="s">
        <v>55</v>
      </c>
      <c r="C112" s="217"/>
      <c r="D112" s="218"/>
      <c r="E112" s="219"/>
      <c r="F112" s="208">
        <f>SUM(F113:F117)</f>
        <v>0</v>
      </c>
      <c r="G112" s="209">
        <f>SUM(G113:G117)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39">
        <f t="shared" si="1"/>
        <v>0</v>
      </c>
      <c r="T112" s="240">
        <f t="shared" si="2"/>
        <v>0</v>
      </c>
      <c r="U112" s="239">
        <f t="shared" si="3"/>
        <v>0</v>
      </c>
      <c r="V112" s="239">
        <f t="shared" si="4"/>
        <v>0</v>
      </c>
      <c r="W112" s="240">
        <f t="shared" si="5"/>
        <v>0</v>
      </c>
      <c r="X112" s="240"/>
    </row>
    <row r="113" spans="1:24" hidden="1" x14ac:dyDescent="0.25">
      <c r="A113" s="148" t="s">
        <v>200</v>
      </c>
      <c r="B113" s="106" t="s">
        <v>254</v>
      </c>
      <c r="C113" s="28"/>
      <c r="D113" s="29"/>
      <c r="E113" s="30"/>
      <c r="F113" s="48">
        <f>D113*E113</f>
        <v>0</v>
      </c>
      <c r="G113" s="49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201</v>
      </c>
      <c r="B114" s="106" t="s">
        <v>258</v>
      </c>
      <c r="C114" s="28"/>
      <c r="D114" s="29"/>
      <c r="E114" s="30"/>
      <c r="F114" s="48">
        <f>D114*E114</f>
        <v>0</v>
      </c>
      <c r="G114" s="49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148" t="s">
        <v>202</v>
      </c>
      <c r="B115" s="106" t="s">
        <v>257</v>
      </c>
      <c r="C115" s="28"/>
      <c r="D115" s="29"/>
      <c r="E115" s="30"/>
      <c r="F115" s="48">
        <f>D115*E115</f>
        <v>0</v>
      </c>
      <c r="G115" s="49">
        <f>F115*C4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25">
        <f t="shared" si="1"/>
        <v>0</v>
      </c>
      <c r="T115" s="231">
        <f t="shared" si="2"/>
        <v>0</v>
      </c>
      <c r="U115" s="225">
        <f t="shared" si="3"/>
        <v>0</v>
      </c>
      <c r="V115" s="225">
        <f t="shared" si="4"/>
        <v>0</v>
      </c>
      <c r="W115" s="231">
        <f t="shared" si="5"/>
        <v>0</v>
      </c>
      <c r="X115" s="231"/>
    </row>
    <row r="116" spans="1:24" hidden="1" x14ac:dyDescent="0.25">
      <c r="A116" s="148" t="s">
        <v>203</v>
      </c>
      <c r="B116" s="106" t="s">
        <v>256</v>
      </c>
      <c r="C116" s="28"/>
      <c r="D116" s="29"/>
      <c r="E116" s="30"/>
      <c r="F116" s="48">
        <f>D116*E116</f>
        <v>0</v>
      </c>
      <c r="G116" s="49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204</v>
      </c>
      <c r="B117" s="106" t="s">
        <v>255</v>
      </c>
      <c r="C117" s="28"/>
      <c r="D117" s="29"/>
      <c r="E117" s="30"/>
      <c r="F117" s="48">
        <f>D117*E117</f>
        <v>0</v>
      </c>
      <c r="G117" s="49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220" t="s">
        <v>96</v>
      </c>
      <c r="B118" s="221" t="s">
        <v>67</v>
      </c>
      <c r="C118" s="217"/>
      <c r="D118" s="218"/>
      <c r="E118" s="219"/>
      <c r="F118" s="208">
        <f>SUM(F119:F123)</f>
        <v>0</v>
      </c>
      <c r="G118" s="209">
        <f>SUM(G119:G123)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39">
        <f t="shared" si="1"/>
        <v>0</v>
      </c>
      <c r="T118" s="240">
        <f t="shared" si="2"/>
        <v>0</v>
      </c>
      <c r="U118" s="239">
        <f t="shared" si="3"/>
        <v>0</v>
      </c>
      <c r="V118" s="239">
        <f t="shared" si="4"/>
        <v>0</v>
      </c>
      <c r="W118" s="240">
        <f t="shared" si="5"/>
        <v>0</v>
      </c>
      <c r="X118" s="240"/>
    </row>
    <row r="119" spans="1:24" hidden="1" x14ac:dyDescent="0.25">
      <c r="A119" s="148" t="s">
        <v>205</v>
      </c>
      <c r="B119" s="106" t="s">
        <v>259</v>
      </c>
      <c r="C119" s="28"/>
      <c r="D119" s="29"/>
      <c r="E119" s="30"/>
      <c r="F119" s="48">
        <f>D119*E119</f>
        <v>0</v>
      </c>
      <c r="G119" s="49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206</v>
      </c>
      <c r="B120" s="106" t="s">
        <v>260</v>
      </c>
      <c r="C120" s="28"/>
      <c r="D120" s="29"/>
      <c r="E120" s="30"/>
      <c r="F120" s="48">
        <f>D120*E120</f>
        <v>0</v>
      </c>
      <c r="G120" s="49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hidden="1" x14ac:dyDescent="0.25">
      <c r="A121" s="148" t="s">
        <v>207</v>
      </c>
      <c r="B121" s="106" t="s">
        <v>261</v>
      </c>
      <c r="C121" s="28"/>
      <c r="D121" s="29"/>
      <c r="E121" s="30"/>
      <c r="F121" s="48">
        <f>D121*E121</f>
        <v>0</v>
      </c>
      <c r="G121" s="49">
        <f>F121*C4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25">
        <f t="shared" si="1"/>
        <v>0</v>
      </c>
      <c r="T121" s="231">
        <f t="shared" si="2"/>
        <v>0</v>
      </c>
      <c r="U121" s="225">
        <f t="shared" si="3"/>
        <v>0</v>
      </c>
      <c r="V121" s="225">
        <f t="shared" si="4"/>
        <v>0</v>
      </c>
      <c r="W121" s="231">
        <f t="shared" si="5"/>
        <v>0</v>
      </c>
      <c r="X121" s="231"/>
    </row>
    <row r="122" spans="1:24" hidden="1" x14ac:dyDescent="0.25">
      <c r="A122" s="148" t="s">
        <v>208</v>
      </c>
      <c r="B122" s="106" t="s">
        <v>262</v>
      </c>
      <c r="C122" s="28"/>
      <c r="D122" s="29"/>
      <c r="E122" s="30"/>
      <c r="F122" s="48">
        <f>D122*E122</f>
        <v>0</v>
      </c>
      <c r="G122" s="49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0</v>
      </c>
      <c r="T122" s="231">
        <f t="shared" si="2"/>
        <v>0</v>
      </c>
      <c r="U122" s="225">
        <f t="shared" si="3"/>
        <v>0</v>
      </c>
      <c r="V122" s="225">
        <f t="shared" si="4"/>
        <v>0</v>
      </c>
      <c r="W122" s="231">
        <f t="shared" si="5"/>
        <v>0</v>
      </c>
      <c r="X122" s="231"/>
    </row>
    <row r="123" spans="1:24" hidden="1" x14ac:dyDescent="0.25">
      <c r="A123" s="148" t="s">
        <v>209</v>
      </c>
      <c r="B123" s="106" t="s">
        <v>263</v>
      </c>
      <c r="C123" s="28"/>
      <c r="D123" s="29"/>
      <c r="E123" s="30"/>
      <c r="F123" s="48">
        <f>D123*E123</f>
        <v>0</v>
      </c>
      <c r="G123" s="49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0</v>
      </c>
      <c r="T123" s="231">
        <f t="shared" si="2"/>
        <v>0</v>
      </c>
      <c r="U123" s="225">
        <f t="shared" si="3"/>
        <v>0</v>
      </c>
      <c r="V123" s="225">
        <f t="shared" si="4"/>
        <v>0</v>
      </c>
      <c r="W123" s="231">
        <f t="shared" si="5"/>
        <v>0</v>
      </c>
      <c r="X123" s="231"/>
    </row>
    <row r="124" spans="1:24" hidden="1" x14ac:dyDescent="0.25">
      <c r="A124" s="220" t="s">
        <v>97</v>
      </c>
      <c r="B124" s="221" t="s">
        <v>68</v>
      </c>
      <c r="C124" s="217"/>
      <c r="D124" s="218"/>
      <c r="E124" s="219"/>
      <c r="F124" s="208">
        <f>SUM(F125:F129)</f>
        <v>0</v>
      </c>
      <c r="G124" s="209">
        <f>SUM(G125:G129)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39">
        <f t="shared" si="1"/>
        <v>0</v>
      </c>
      <c r="T124" s="240">
        <f t="shared" si="2"/>
        <v>0</v>
      </c>
      <c r="U124" s="239">
        <f t="shared" si="3"/>
        <v>0</v>
      </c>
      <c r="V124" s="239">
        <f t="shared" si="4"/>
        <v>0</v>
      </c>
      <c r="W124" s="240">
        <f t="shared" si="5"/>
        <v>0</v>
      </c>
      <c r="X124" s="240"/>
    </row>
    <row r="125" spans="1:24" hidden="1" x14ac:dyDescent="0.25">
      <c r="A125" s="148" t="s">
        <v>210</v>
      </c>
      <c r="B125" s="106" t="s">
        <v>264</v>
      </c>
      <c r="C125" s="28"/>
      <c r="D125" s="29"/>
      <c r="E125" s="30"/>
      <c r="F125" s="48">
        <f>D125*E125</f>
        <v>0</v>
      </c>
      <c r="G125" s="49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211</v>
      </c>
      <c r="B126" s="106" t="s">
        <v>265</v>
      </c>
      <c r="C126" s="28"/>
      <c r="D126" s="29"/>
      <c r="E126" s="30"/>
      <c r="F126" s="48">
        <f>D126*E126</f>
        <v>0</v>
      </c>
      <c r="G126" s="49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hidden="1" x14ac:dyDescent="0.25">
      <c r="A127" s="148" t="s">
        <v>212</v>
      </c>
      <c r="B127" s="106" t="s">
        <v>266</v>
      </c>
      <c r="C127" s="28"/>
      <c r="D127" s="29"/>
      <c r="E127" s="30"/>
      <c r="F127" s="48">
        <f>D127*E127</f>
        <v>0</v>
      </c>
      <c r="G127" s="49">
        <f>F127*C4</f>
        <v>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25">
        <f t="shared" si="1"/>
        <v>0</v>
      </c>
      <c r="T127" s="231">
        <f t="shared" si="2"/>
        <v>0</v>
      </c>
      <c r="U127" s="225">
        <f t="shared" si="3"/>
        <v>0</v>
      </c>
      <c r="V127" s="225">
        <f t="shared" si="4"/>
        <v>0</v>
      </c>
      <c r="W127" s="231">
        <f t="shared" si="5"/>
        <v>0</v>
      </c>
      <c r="X127" s="231"/>
    </row>
    <row r="128" spans="1:24" hidden="1" x14ac:dyDescent="0.25">
      <c r="A128" s="148" t="s">
        <v>213</v>
      </c>
      <c r="B128" s="106" t="s">
        <v>267</v>
      </c>
      <c r="C128" s="28"/>
      <c r="D128" s="29"/>
      <c r="E128" s="30"/>
      <c r="F128" s="48">
        <f>D128*E128</f>
        <v>0</v>
      </c>
      <c r="G128" s="49">
        <f>F128*C4</f>
        <v>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0</v>
      </c>
      <c r="T128" s="231">
        <f t="shared" si="2"/>
        <v>0</v>
      </c>
      <c r="U128" s="225">
        <f t="shared" si="3"/>
        <v>0</v>
      </c>
      <c r="V128" s="225">
        <f t="shared" si="4"/>
        <v>0</v>
      </c>
      <c r="W128" s="231">
        <f t="shared" si="5"/>
        <v>0</v>
      </c>
      <c r="X128" s="231"/>
    </row>
    <row r="129" spans="1:24" hidden="1" x14ac:dyDescent="0.25">
      <c r="A129" s="148" t="s">
        <v>214</v>
      </c>
      <c r="B129" s="106" t="s">
        <v>268</v>
      </c>
      <c r="C129" s="28"/>
      <c r="D129" s="29"/>
      <c r="E129" s="30"/>
      <c r="F129" s="48">
        <f>D129*E129</f>
        <v>0</v>
      </c>
      <c r="G129" s="49">
        <f>F129*C4</f>
        <v>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0</v>
      </c>
      <c r="T129" s="231">
        <f t="shared" si="2"/>
        <v>0</v>
      </c>
      <c r="U129" s="225">
        <f t="shared" si="3"/>
        <v>0</v>
      </c>
      <c r="V129" s="225">
        <f t="shared" si="4"/>
        <v>0</v>
      </c>
      <c r="W129" s="231">
        <f t="shared" si="5"/>
        <v>0</v>
      </c>
      <c r="X129" s="231"/>
    </row>
    <row r="130" spans="1:24" x14ac:dyDescent="0.25">
      <c r="A130" s="220" t="s">
        <v>98</v>
      </c>
      <c r="B130" s="221" t="s">
        <v>69</v>
      </c>
      <c r="C130" s="217"/>
      <c r="D130" s="218"/>
      <c r="E130" s="219"/>
      <c r="F130" s="208">
        <f>SUM(F131:F146)</f>
        <v>164475.99799999999</v>
      </c>
      <c r="G130" s="315">
        <f>SUM(G131:G146)</f>
        <v>231911.15717999998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39">
        <f t="shared" si="1"/>
        <v>-164475.99799999999</v>
      </c>
      <c r="T130" s="240">
        <f t="shared" si="2"/>
        <v>-1</v>
      </c>
      <c r="U130" s="239">
        <f t="shared" si="3"/>
        <v>0</v>
      </c>
      <c r="V130" s="239">
        <f t="shared" si="4"/>
        <v>-231911.15717999998</v>
      </c>
      <c r="W130" s="240">
        <f t="shared" si="5"/>
        <v>-1</v>
      </c>
      <c r="X130" s="240"/>
    </row>
    <row r="131" spans="1:24" x14ac:dyDescent="0.25">
      <c r="A131" s="148" t="s">
        <v>215</v>
      </c>
      <c r="B131" s="300" t="s">
        <v>661</v>
      </c>
      <c r="C131" s="301" t="s">
        <v>662</v>
      </c>
      <c r="D131" s="302">
        <v>26</v>
      </c>
      <c r="E131" s="303">
        <v>539</v>
      </c>
      <c r="F131" s="48">
        <f>D131*E131</f>
        <v>14014</v>
      </c>
      <c r="G131" s="295">
        <f>F131*C4</f>
        <v>19759.739999999998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-14014</v>
      </c>
      <c r="T131" s="231">
        <f t="shared" si="2"/>
        <v>-1</v>
      </c>
      <c r="U131" s="225">
        <f t="shared" si="3"/>
        <v>0</v>
      </c>
      <c r="V131" s="225">
        <f t="shared" si="4"/>
        <v>-19759.739999999998</v>
      </c>
      <c r="W131" s="231">
        <f t="shared" si="5"/>
        <v>-1</v>
      </c>
      <c r="X131" s="231"/>
    </row>
    <row r="132" spans="1:24" x14ac:dyDescent="0.25">
      <c r="A132" s="148" t="s">
        <v>216</v>
      </c>
      <c r="B132" s="300" t="s">
        <v>663</v>
      </c>
      <c r="C132" s="301" t="s">
        <v>662</v>
      </c>
      <c r="D132" s="302">
        <v>2</v>
      </c>
      <c r="E132" s="303">
        <v>1450</v>
      </c>
      <c r="F132" s="48">
        <f>D132*E132</f>
        <v>2900</v>
      </c>
      <c r="G132" s="295">
        <f>F132*C4</f>
        <v>4088.9999999999995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-2900</v>
      </c>
      <c r="T132" s="231">
        <f t="shared" si="2"/>
        <v>-1</v>
      </c>
      <c r="U132" s="225">
        <f t="shared" si="3"/>
        <v>0</v>
      </c>
      <c r="V132" s="225">
        <f t="shared" si="4"/>
        <v>-4088.9999999999995</v>
      </c>
      <c r="W132" s="231">
        <f t="shared" si="5"/>
        <v>-1</v>
      </c>
      <c r="X132" s="231"/>
    </row>
    <row r="133" spans="1:24" x14ac:dyDescent="0.25">
      <c r="A133" s="148" t="s">
        <v>217</v>
      </c>
      <c r="B133" s="300" t="s">
        <v>664</v>
      </c>
      <c r="C133" s="301" t="s">
        <v>662</v>
      </c>
      <c r="D133" s="302">
        <v>20</v>
      </c>
      <c r="E133" s="303">
        <v>320</v>
      </c>
      <c r="F133" s="48">
        <f>D133*E133</f>
        <v>6400</v>
      </c>
      <c r="G133" s="295">
        <f>F133*C4</f>
        <v>9024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1"/>
        <v>-6400</v>
      </c>
      <c r="T133" s="231">
        <f t="shared" si="2"/>
        <v>-1</v>
      </c>
      <c r="U133" s="225">
        <f t="shared" si="3"/>
        <v>0</v>
      </c>
      <c r="V133" s="225">
        <f t="shared" si="4"/>
        <v>-9024</v>
      </c>
      <c r="W133" s="231">
        <f t="shared" si="5"/>
        <v>-1</v>
      </c>
      <c r="X133" s="231"/>
    </row>
    <row r="134" spans="1:24" x14ac:dyDescent="0.25">
      <c r="A134" s="148" t="s">
        <v>218</v>
      </c>
      <c r="B134" s="300" t="s">
        <v>665</v>
      </c>
      <c r="C134" s="301" t="s">
        <v>666</v>
      </c>
      <c r="D134" s="302">
        <v>1</v>
      </c>
      <c r="E134" s="303">
        <v>1000</v>
      </c>
      <c r="F134" s="48">
        <f>D134*E134</f>
        <v>1000</v>
      </c>
      <c r="G134" s="295">
        <f>F134*$C$4</f>
        <v>1410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-1000</v>
      </c>
      <c r="T134" s="231">
        <f t="shared" si="2"/>
        <v>-1</v>
      </c>
      <c r="U134" s="225">
        <f t="shared" si="3"/>
        <v>0</v>
      </c>
      <c r="V134" s="225">
        <f t="shared" si="4"/>
        <v>-1410</v>
      </c>
      <c r="W134" s="231">
        <f t="shared" si="5"/>
        <v>-1</v>
      </c>
      <c r="X134" s="231"/>
    </row>
    <row r="135" spans="1:24" x14ac:dyDescent="0.25">
      <c r="A135" s="148" t="s">
        <v>219</v>
      </c>
      <c r="B135" s="300" t="s">
        <v>667</v>
      </c>
      <c r="C135" s="301" t="s">
        <v>373</v>
      </c>
      <c r="D135" s="302">
        <v>20</v>
      </c>
      <c r="E135" s="303">
        <v>822</v>
      </c>
      <c r="F135" s="48">
        <f t="shared" ref="F135:F146" si="7">D135*E135</f>
        <v>16440</v>
      </c>
      <c r="G135" s="295">
        <f t="shared" ref="G135:G146" si="8">F135*$C$4</f>
        <v>23180.399999999998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/>
      <c r="T135" s="231"/>
      <c r="U135" s="225"/>
      <c r="V135" s="225"/>
      <c r="W135" s="231"/>
      <c r="X135" s="231"/>
    </row>
    <row r="136" spans="1:24" x14ac:dyDescent="0.25">
      <c r="A136" s="148" t="s">
        <v>545</v>
      </c>
      <c r="B136" s="300" t="s">
        <v>668</v>
      </c>
      <c r="C136" s="301" t="s">
        <v>373</v>
      </c>
      <c r="D136" s="302">
        <v>20</v>
      </c>
      <c r="E136" s="303">
        <v>2245</v>
      </c>
      <c r="F136" s="48">
        <f t="shared" si="7"/>
        <v>44900</v>
      </c>
      <c r="G136" s="295">
        <f t="shared" si="8"/>
        <v>63309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/>
      <c r="T136" s="231"/>
      <c r="U136" s="225"/>
      <c r="V136" s="225"/>
      <c r="W136" s="231"/>
      <c r="X136" s="231"/>
    </row>
    <row r="137" spans="1:24" x14ac:dyDescent="0.25">
      <c r="A137" s="148" t="s">
        <v>546</v>
      </c>
      <c r="B137" s="300" t="s">
        <v>669</v>
      </c>
      <c r="C137" s="301" t="s">
        <v>662</v>
      </c>
      <c r="D137" s="304">
        <v>8</v>
      </c>
      <c r="E137" s="303">
        <v>740</v>
      </c>
      <c r="F137" s="48">
        <f t="shared" si="7"/>
        <v>5920</v>
      </c>
      <c r="G137" s="295">
        <f t="shared" si="8"/>
        <v>8347.1999999999989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/>
      <c r="T137" s="231"/>
      <c r="U137" s="225"/>
      <c r="V137" s="225"/>
      <c r="W137" s="231"/>
      <c r="X137" s="231"/>
    </row>
    <row r="138" spans="1:24" x14ac:dyDescent="0.25">
      <c r="A138" s="148" t="s">
        <v>547</v>
      </c>
      <c r="B138" s="300" t="s">
        <v>670</v>
      </c>
      <c r="C138" s="301" t="s">
        <v>662</v>
      </c>
      <c r="D138" s="304">
        <v>6</v>
      </c>
      <c r="E138" s="303">
        <v>3375.3330000000001</v>
      </c>
      <c r="F138" s="48">
        <f t="shared" si="7"/>
        <v>20251.998</v>
      </c>
      <c r="G138" s="295">
        <f t="shared" si="8"/>
        <v>28555.317179999998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/>
      <c r="T138" s="231"/>
      <c r="U138" s="225"/>
      <c r="V138" s="225"/>
      <c r="W138" s="231"/>
      <c r="X138" s="231"/>
    </row>
    <row r="139" spans="1:24" x14ac:dyDescent="0.25">
      <c r="A139" s="148" t="s">
        <v>653</v>
      </c>
      <c r="B139" s="300" t="s">
        <v>671</v>
      </c>
      <c r="C139" s="301" t="s">
        <v>662</v>
      </c>
      <c r="D139" s="304">
        <v>5</v>
      </c>
      <c r="E139" s="303">
        <v>750</v>
      </c>
      <c r="F139" s="48">
        <f t="shared" si="7"/>
        <v>3750</v>
      </c>
      <c r="G139" s="295">
        <f t="shared" si="8"/>
        <v>5287.5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25"/>
      <c r="T139" s="231"/>
      <c r="U139" s="225"/>
      <c r="V139" s="225"/>
      <c r="W139" s="231"/>
      <c r="X139" s="231"/>
    </row>
    <row r="140" spans="1:24" x14ac:dyDescent="0.25">
      <c r="A140" s="148" t="s">
        <v>654</v>
      </c>
      <c r="B140" s="300" t="s">
        <v>672</v>
      </c>
      <c r="C140" s="301" t="s">
        <v>429</v>
      </c>
      <c r="D140" s="304">
        <v>5</v>
      </c>
      <c r="E140" s="303">
        <v>100</v>
      </c>
      <c r="F140" s="48">
        <f t="shared" si="7"/>
        <v>500</v>
      </c>
      <c r="G140" s="295">
        <f t="shared" si="8"/>
        <v>705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/>
      <c r="T140" s="231"/>
      <c r="U140" s="225"/>
      <c r="V140" s="225"/>
      <c r="W140" s="231"/>
      <c r="X140" s="231"/>
    </row>
    <row r="141" spans="1:24" x14ac:dyDescent="0.25">
      <c r="A141" s="148" t="s">
        <v>655</v>
      </c>
      <c r="B141" s="300" t="s">
        <v>673</v>
      </c>
      <c r="C141" s="305" t="s">
        <v>662</v>
      </c>
      <c r="D141" s="306">
        <v>1</v>
      </c>
      <c r="E141" s="303">
        <v>1000</v>
      </c>
      <c r="F141" s="48">
        <f t="shared" si="7"/>
        <v>1000</v>
      </c>
      <c r="G141" s="295">
        <f t="shared" si="8"/>
        <v>1410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/>
      <c r="T141" s="231"/>
      <c r="U141" s="225"/>
      <c r="V141" s="225"/>
      <c r="W141" s="231"/>
      <c r="X141" s="231"/>
    </row>
    <row r="142" spans="1:24" x14ac:dyDescent="0.25">
      <c r="A142" s="148" t="s">
        <v>656</v>
      </c>
      <c r="B142" s="300" t="s">
        <v>674</v>
      </c>
      <c r="C142" s="305" t="s">
        <v>482</v>
      </c>
      <c r="D142" s="306">
        <v>3</v>
      </c>
      <c r="E142" s="303">
        <v>500</v>
      </c>
      <c r="F142" s="48">
        <f t="shared" si="7"/>
        <v>1500</v>
      </c>
      <c r="G142" s="295">
        <f t="shared" si="8"/>
        <v>2115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/>
      <c r="T142" s="231"/>
      <c r="U142" s="225"/>
      <c r="V142" s="225"/>
      <c r="W142" s="231"/>
      <c r="X142" s="231"/>
    </row>
    <row r="143" spans="1:24" ht="26.4" x14ac:dyDescent="0.25">
      <c r="A143" s="148" t="s">
        <v>657</v>
      </c>
      <c r="B143" s="300" t="s">
        <v>675</v>
      </c>
      <c r="C143" s="301" t="s">
        <v>482</v>
      </c>
      <c r="D143" s="304">
        <v>2</v>
      </c>
      <c r="E143" s="303">
        <v>300</v>
      </c>
      <c r="F143" s="48">
        <f t="shared" si="7"/>
        <v>600</v>
      </c>
      <c r="G143" s="295">
        <f t="shared" si="8"/>
        <v>846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/>
      <c r="T143" s="231"/>
      <c r="U143" s="225"/>
      <c r="V143" s="225"/>
      <c r="W143" s="231"/>
      <c r="X143" s="231"/>
    </row>
    <row r="144" spans="1:24" x14ac:dyDescent="0.25">
      <c r="A144" s="148" t="s">
        <v>658</v>
      </c>
      <c r="B144" s="300" t="s">
        <v>676</v>
      </c>
      <c r="C144" s="301" t="s">
        <v>662</v>
      </c>
      <c r="D144" s="304">
        <v>5</v>
      </c>
      <c r="E144" s="303">
        <v>2040</v>
      </c>
      <c r="F144" s="48">
        <f t="shared" si="7"/>
        <v>10200</v>
      </c>
      <c r="G144" s="295">
        <f t="shared" si="8"/>
        <v>14382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/>
      <c r="T144" s="231"/>
      <c r="U144" s="225"/>
      <c r="V144" s="225"/>
      <c r="W144" s="231"/>
      <c r="X144" s="231"/>
    </row>
    <row r="145" spans="1:24" x14ac:dyDescent="0.25">
      <c r="A145" s="148" t="s">
        <v>659</v>
      </c>
      <c r="B145" s="300" t="s">
        <v>677</v>
      </c>
      <c r="C145" s="301" t="s">
        <v>392</v>
      </c>
      <c r="D145" s="304">
        <v>10</v>
      </c>
      <c r="E145" s="303">
        <v>2070</v>
      </c>
      <c r="F145" s="48">
        <f t="shared" si="7"/>
        <v>20700</v>
      </c>
      <c r="G145" s="295">
        <f t="shared" si="8"/>
        <v>29187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/>
      <c r="T145" s="231"/>
      <c r="U145" s="225"/>
      <c r="V145" s="225"/>
      <c r="W145" s="231"/>
      <c r="X145" s="231"/>
    </row>
    <row r="146" spans="1:24" x14ac:dyDescent="0.25">
      <c r="A146" s="148" t="s">
        <v>660</v>
      </c>
      <c r="B146" s="300" t="s">
        <v>678</v>
      </c>
      <c r="C146" s="301" t="s">
        <v>392</v>
      </c>
      <c r="D146" s="304">
        <v>12</v>
      </c>
      <c r="E146" s="303">
        <v>1200</v>
      </c>
      <c r="F146" s="48">
        <f t="shared" si="7"/>
        <v>14400</v>
      </c>
      <c r="G146" s="295">
        <f t="shared" si="8"/>
        <v>20304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/>
      <c r="T146" s="231"/>
      <c r="U146" s="225"/>
      <c r="V146" s="225"/>
      <c r="W146" s="231"/>
      <c r="X146" s="231"/>
    </row>
    <row r="147" spans="1:24" x14ac:dyDescent="0.25">
      <c r="A147" s="220" t="s">
        <v>99</v>
      </c>
      <c r="B147" s="221" t="s">
        <v>54</v>
      </c>
      <c r="C147" s="217"/>
      <c r="D147" s="218"/>
      <c r="E147" s="219"/>
      <c r="F147" s="208">
        <f>SUM(F148:F152)</f>
        <v>57769.95</v>
      </c>
      <c r="G147" s="315">
        <f>SUM(G148:G152)</f>
        <v>81455.629499999995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39">
        <f t="shared" si="1"/>
        <v>-57769.95</v>
      </c>
      <c r="T147" s="240">
        <f t="shared" si="2"/>
        <v>-1</v>
      </c>
      <c r="U147" s="239">
        <f t="shared" si="3"/>
        <v>0</v>
      </c>
      <c r="V147" s="239">
        <f t="shared" si="4"/>
        <v>-81455.629499999995</v>
      </c>
      <c r="W147" s="240">
        <f t="shared" si="5"/>
        <v>-1</v>
      </c>
      <c r="X147" s="240"/>
    </row>
    <row r="148" spans="1:24" x14ac:dyDescent="0.25">
      <c r="A148" s="148" t="s">
        <v>220</v>
      </c>
      <c r="B148" s="300" t="s">
        <v>679</v>
      </c>
      <c r="C148" s="301" t="s">
        <v>431</v>
      </c>
      <c r="D148" s="302">
        <v>75</v>
      </c>
      <c r="E148" s="303">
        <v>100</v>
      </c>
      <c r="F148" s="48">
        <f>D148*E148</f>
        <v>7500</v>
      </c>
      <c r="G148" s="295">
        <f>F148*C4</f>
        <v>10575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si="1"/>
        <v>-7500</v>
      </c>
      <c r="T148" s="231">
        <f t="shared" si="2"/>
        <v>-1</v>
      </c>
      <c r="U148" s="225">
        <f t="shared" si="3"/>
        <v>0</v>
      </c>
      <c r="V148" s="225">
        <f t="shared" si="4"/>
        <v>-10575</v>
      </c>
      <c r="W148" s="231">
        <f t="shared" si="5"/>
        <v>-1</v>
      </c>
      <c r="X148" s="231"/>
    </row>
    <row r="149" spans="1:24" x14ac:dyDescent="0.25">
      <c r="A149" s="148" t="s">
        <v>221</v>
      </c>
      <c r="B149" s="300" t="s">
        <v>680</v>
      </c>
      <c r="C149" s="301" t="s">
        <v>431</v>
      </c>
      <c r="D149" s="302">
        <v>100</v>
      </c>
      <c r="E149" s="303">
        <v>90</v>
      </c>
      <c r="F149" s="48">
        <f>D149*E149</f>
        <v>9000</v>
      </c>
      <c r="G149" s="295">
        <f>F149*C4</f>
        <v>12690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1"/>
        <v>-9000</v>
      </c>
      <c r="T149" s="231">
        <f t="shared" si="2"/>
        <v>-1</v>
      </c>
      <c r="U149" s="225">
        <f t="shared" si="3"/>
        <v>0</v>
      </c>
      <c r="V149" s="225">
        <f t="shared" si="4"/>
        <v>-12690</v>
      </c>
      <c r="W149" s="231">
        <f t="shared" si="5"/>
        <v>-1</v>
      </c>
      <c r="X149" s="231"/>
    </row>
    <row r="150" spans="1:24" ht="26.4" x14ac:dyDescent="0.25">
      <c r="A150" s="148" t="s">
        <v>222</v>
      </c>
      <c r="B150" s="300" t="s">
        <v>681</v>
      </c>
      <c r="C150" s="301" t="s">
        <v>662</v>
      </c>
      <c r="D150" s="302">
        <v>8</v>
      </c>
      <c r="E150" s="303">
        <v>300</v>
      </c>
      <c r="F150" s="48">
        <f>D150*E150</f>
        <v>2400</v>
      </c>
      <c r="G150" s="295">
        <f>F150*C4</f>
        <v>3384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1"/>
        <v>-2400</v>
      </c>
      <c r="T150" s="231">
        <f t="shared" si="2"/>
        <v>-1</v>
      </c>
      <c r="U150" s="225">
        <f t="shared" si="3"/>
        <v>0</v>
      </c>
      <c r="V150" s="225">
        <f t="shared" si="4"/>
        <v>-3384</v>
      </c>
      <c r="W150" s="231">
        <f t="shared" si="5"/>
        <v>-1</v>
      </c>
      <c r="X150" s="231"/>
    </row>
    <row r="151" spans="1:24" ht="26.4" x14ac:dyDescent="0.25">
      <c r="A151" s="148" t="s">
        <v>223</v>
      </c>
      <c r="B151" s="300" t="s">
        <v>682</v>
      </c>
      <c r="C151" s="301" t="s">
        <v>666</v>
      </c>
      <c r="D151" s="302">
        <v>15</v>
      </c>
      <c r="E151" s="303">
        <v>1591.33</v>
      </c>
      <c r="F151" s="48">
        <f>D151*E151</f>
        <v>23869.949999999997</v>
      </c>
      <c r="G151" s="295">
        <f>F151*C4</f>
        <v>33656.629499999995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>
        <f t="shared" si="1"/>
        <v>-23869.949999999997</v>
      </c>
      <c r="T151" s="231">
        <f t="shared" si="2"/>
        <v>-1</v>
      </c>
      <c r="U151" s="225">
        <f t="shared" si="3"/>
        <v>0</v>
      </c>
      <c r="V151" s="225">
        <f t="shared" si="4"/>
        <v>-33656.629499999995</v>
      </c>
      <c r="W151" s="231">
        <f t="shared" si="5"/>
        <v>-1</v>
      </c>
      <c r="X151" s="231"/>
    </row>
    <row r="152" spans="1:24" ht="26.4" x14ac:dyDescent="0.25">
      <c r="A152" s="148" t="s">
        <v>224</v>
      </c>
      <c r="B152" s="300" t="s">
        <v>683</v>
      </c>
      <c r="C152" s="301" t="s">
        <v>373</v>
      </c>
      <c r="D152" s="302">
        <v>10</v>
      </c>
      <c r="E152" s="303">
        <v>1500</v>
      </c>
      <c r="F152" s="48">
        <f>D152*E152</f>
        <v>15000</v>
      </c>
      <c r="G152" s="295">
        <f>F152*C4</f>
        <v>21150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1"/>
        <v>-15000</v>
      </c>
      <c r="T152" s="231">
        <f t="shared" si="2"/>
        <v>-1</v>
      </c>
      <c r="U152" s="225">
        <f t="shared" si="3"/>
        <v>0</v>
      </c>
      <c r="V152" s="225">
        <f t="shared" si="4"/>
        <v>-21150</v>
      </c>
      <c r="W152" s="231">
        <f t="shared" si="5"/>
        <v>-1</v>
      </c>
      <c r="X152" s="231"/>
    </row>
    <row r="153" spans="1:24" hidden="1" x14ac:dyDescent="0.25">
      <c r="A153" s="220" t="s">
        <v>100</v>
      </c>
      <c r="B153" s="221" t="s">
        <v>53</v>
      </c>
      <c r="C153" s="217"/>
      <c r="D153" s="218"/>
      <c r="E153" s="219"/>
      <c r="F153" s="208">
        <f>SUM(F154:F158)</f>
        <v>0</v>
      </c>
      <c r="G153" s="315">
        <f>SUM(G154:G158)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39">
        <f t="shared" si="1"/>
        <v>0</v>
      </c>
      <c r="T153" s="240">
        <f t="shared" si="2"/>
        <v>0</v>
      </c>
      <c r="U153" s="239">
        <f t="shared" si="3"/>
        <v>0</v>
      </c>
      <c r="V153" s="239">
        <f t="shared" si="4"/>
        <v>0</v>
      </c>
      <c r="W153" s="240">
        <f t="shared" si="5"/>
        <v>0</v>
      </c>
      <c r="X153" s="240"/>
    </row>
    <row r="154" spans="1:24" hidden="1" x14ac:dyDescent="0.25">
      <c r="A154" s="148" t="s">
        <v>225</v>
      </c>
      <c r="B154" s="106" t="s">
        <v>279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1"/>
        <v>0</v>
      </c>
      <c r="T154" s="231">
        <f t="shared" si="2"/>
        <v>0</v>
      </c>
      <c r="U154" s="225">
        <f t="shared" si="3"/>
        <v>0</v>
      </c>
      <c r="V154" s="225">
        <f t="shared" si="4"/>
        <v>0</v>
      </c>
      <c r="W154" s="231">
        <f t="shared" si="5"/>
        <v>0</v>
      </c>
      <c r="X154" s="231"/>
    </row>
    <row r="155" spans="1:24" hidden="1" x14ac:dyDescent="0.25">
      <c r="A155" s="148" t="s">
        <v>226</v>
      </c>
      <c r="B155" s="106" t="s">
        <v>280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1"/>
        <v>0</v>
      </c>
      <c r="T155" s="231">
        <f t="shared" si="2"/>
        <v>0</v>
      </c>
      <c r="U155" s="225">
        <f t="shared" si="3"/>
        <v>0</v>
      </c>
      <c r="V155" s="225">
        <f t="shared" si="4"/>
        <v>0</v>
      </c>
      <c r="W155" s="231">
        <f t="shared" si="5"/>
        <v>0</v>
      </c>
      <c r="X155" s="231"/>
    </row>
    <row r="156" spans="1:24" hidden="1" x14ac:dyDescent="0.25">
      <c r="A156" s="148" t="s">
        <v>227</v>
      </c>
      <c r="B156" s="106" t="s">
        <v>281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1"/>
        <v>0</v>
      </c>
      <c r="T156" s="231">
        <f t="shared" si="2"/>
        <v>0</v>
      </c>
      <c r="U156" s="225">
        <f t="shared" si="3"/>
        <v>0</v>
      </c>
      <c r="V156" s="225">
        <f t="shared" si="4"/>
        <v>0</v>
      </c>
      <c r="W156" s="231">
        <f t="shared" si="5"/>
        <v>0</v>
      </c>
      <c r="X156" s="231"/>
    </row>
    <row r="157" spans="1:24" hidden="1" x14ac:dyDescent="0.25">
      <c r="A157" s="148" t="s">
        <v>228</v>
      </c>
      <c r="B157" s="106" t="s">
        <v>282</v>
      </c>
      <c r="C157" s="28"/>
      <c r="D157" s="29"/>
      <c r="E157" s="30"/>
      <c r="F157" s="48">
        <f>D157*E157</f>
        <v>0</v>
      </c>
      <c r="G157" s="295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1"/>
        <v>0</v>
      </c>
      <c r="T157" s="231">
        <f t="shared" si="2"/>
        <v>0</v>
      </c>
      <c r="U157" s="225">
        <f t="shared" si="3"/>
        <v>0</v>
      </c>
      <c r="V157" s="225">
        <f t="shared" si="4"/>
        <v>0</v>
      </c>
      <c r="W157" s="231">
        <f t="shared" si="5"/>
        <v>0</v>
      </c>
      <c r="X157" s="231"/>
    </row>
    <row r="158" spans="1:24" hidden="1" x14ac:dyDescent="0.25">
      <c r="A158" s="148" t="s">
        <v>229</v>
      </c>
      <c r="B158" s="106" t="s">
        <v>283</v>
      </c>
      <c r="C158" s="28"/>
      <c r="D158" s="29"/>
      <c r="E158" s="30"/>
      <c r="F158" s="48">
        <f>D158*E158</f>
        <v>0</v>
      </c>
      <c r="G158" s="295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1"/>
        <v>0</v>
      </c>
      <c r="T158" s="231">
        <f t="shared" si="2"/>
        <v>0</v>
      </c>
      <c r="U158" s="225">
        <f t="shared" si="3"/>
        <v>0</v>
      </c>
      <c r="V158" s="225">
        <f t="shared" si="4"/>
        <v>0</v>
      </c>
      <c r="W158" s="231">
        <f t="shared" si="5"/>
        <v>0</v>
      </c>
      <c r="X158" s="231"/>
    </row>
    <row r="159" spans="1:24" hidden="1" x14ac:dyDescent="0.25">
      <c r="A159" s="220" t="s">
        <v>101</v>
      </c>
      <c r="B159" s="221" t="s">
        <v>70</v>
      </c>
      <c r="C159" s="217"/>
      <c r="D159" s="218"/>
      <c r="E159" s="219"/>
      <c r="F159" s="208">
        <f>SUM(F160:F164)</f>
        <v>0</v>
      </c>
      <c r="G159" s="315">
        <f>SUM(G160:G164)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39">
        <f t="shared" si="1"/>
        <v>0</v>
      </c>
      <c r="T159" s="240">
        <f t="shared" si="2"/>
        <v>0</v>
      </c>
      <c r="U159" s="239">
        <f t="shared" si="3"/>
        <v>0</v>
      </c>
      <c r="V159" s="239">
        <f t="shared" si="4"/>
        <v>0</v>
      </c>
      <c r="W159" s="240">
        <f t="shared" si="5"/>
        <v>0</v>
      </c>
      <c r="X159" s="240"/>
    </row>
    <row r="160" spans="1:24" hidden="1" x14ac:dyDescent="0.25">
      <c r="A160" s="148" t="s">
        <v>230</v>
      </c>
      <c r="B160" s="106" t="s">
        <v>284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1"/>
        <v>0</v>
      </c>
      <c r="T160" s="231">
        <f t="shared" si="2"/>
        <v>0</v>
      </c>
      <c r="U160" s="225">
        <f t="shared" si="3"/>
        <v>0</v>
      </c>
      <c r="V160" s="225">
        <f t="shared" si="4"/>
        <v>0</v>
      </c>
      <c r="W160" s="231">
        <f t="shared" si="5"/>
        <v>0</v>
      </c>
      <c r="X160" s="231"/>
    </row>
    <row r="161" spans="1:24" hidden="1" x14ac:dyDescent="0.25">
      <c r="A161" s="148" t="s">
        <v>231</v>
      </c>
      <c r="B161" s="106" t="s">
        <v>285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ref="S161:S225" si="9">R161-F161</f>
        <v>0</v>
      </c>
      <c r="T161" s="231">
        <f t="shared" ref="T161:T225" si="10">IF(F161=0,0,S161/F161)</f>
        <v>0</v>
      </c>
      <c r="U161" s="225">
        <f t="shared" ref="U161:U225" si="11">R161*$C$4</f>
        <v>0</v>
      </c>
      <c r="V161" s="225">
        <f t="shared" ref="V161:V225" si="12">U161-G161</f>
        <v>0</v>
      </c>
      <c r="W161" s="231">
        <f t="shared" ref="W161:W225" si="13">IF(G161=0,0,V161/G161)</f>
        <v>0</v>
      </c>
      <c r="X161" s="231"/>
    </row>
    <row r="162" spans="1:24" hidden="1" x14ac:dyDescent="0.25">
      <c r="A162" s="148" t="s">
        <v>232</v>
      </c>
      <c r="B162" s="106" t="s">
        <v>286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9"/>
        <v>0</v>
      </c>
      <c r="T162" s="231">
        <f t="shared" si="10"/>
        <v>0</v>
      </c>
      <c r="U162" s="225">
        <f t="shared" si="11"/>
        <v>0</v>
      </c>
      <c r="V162" s="225">
        <f t="shared" si="12"/>
        <v>0</v>
      </c>
      <c r="W162" s="231">
        <f t="shared" si="13"/>
        <v>0</v>
      </c>
      <c r="X162" s="231"/>
    </row>
    <row r="163" spans="1:24" hidden="1" x14ac:dyDescent="0.25">
      <c r="A163" s="148" t="s">
        <v>233</v>
      </c>
      <c r="B163" s="106" t="s">
        <v>287</v>
      </c>
      <c r="C163" s="28"/>
      <c r="D163" s="29"/>
      <c r="E163" s="30"/>
      <c r="F163" s="48">
        <f>D163*E163</f>
        <v>0</v>
      </c>
      <c r="G163" s="295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9"/>
        <v>0</v>
      </c>
      <c r="T163" s="231">
        <f t="shared" si="10"/>
        <v>0</v>
      </c>
      <c r="U163" s="225">
        <f t="shared" si="11"/>
        <v>0</v>
      </c>
      <c r="V163" s="225">
        <f t="shared" si="12"/>
        <v>0</v>
      </c>
      <c r="W163" s="231">
        <f t="shared" si="13"/>
        <v>0</v>
      </c>
      <c r="X163" s="231"/>
    </row>
    <row r="164" spans="1:24" hidden="1" x14ac:dyDescent="0.25">
      <c r="A164" s="148" t="s">
        <v>234</v>
      </c>
      <c r="B164" s="106" t="s">
        <v>288</v>
      </c>
      <c r="C164" s="28"/>
      <c r="D164" s="29"/>
      <c r="E164" s="30"/>
      <c r="F164" s="48">
        <f>D164*E164</f>
        <v>0</v>
      </c>
      <c r="G164" s="295">
        <f>F164*C4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25">
        <f t="shared" si="9"/>
        <v>0</v>
      </c>
      <c r="T164" s="231">
        <f t="shared" si="10"/>
        <v>0</v>
      </c>
      <c r="U164" s="225">
        <f t="shared" si="11"/>
        <v>0</v>
      </c>
      <c r="V164" s="225">
        <f t="shared" si="12"/>
        <v>0</v>
      </c>
      <c r="W164" s="231">
        <f t="shared" si="13"/>
        <v>0</v>
      </c>
      <c r="X164" s="231"/>
    </row>
    <row r="165" spans="1:24" x14ac:dyDescent="0.25">
      <c r="A165" s="220" t="s">
        <v>102</v>
      </c>
      <c r="B165" s="221" t="s">
        <v>295</v>
      </c>
      <c r="C165" s="217"/>
      <c r="D165" s="218"/>
      <c r="E165" s="219"/>
      <c r="F165" s="208">
        <f>SUM(F166:F170)</f>
        <v>41600</v>
      </c>
      <c r="G165" s="315">
        <f>SUM(G166:G170)</f>
        <v>58656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39">
        <f t="shared" si="9"/>
        <v>-41600</v>
      </c>
      <c r="T165" s="240">
        <f t="shared" si="10"/>
        <v>-1</v>
      </c>
      <c r="U165" s="239">
        <f t="shared" si="11"/>
        <v>0</v>
      </c>
      <c r="V165" s="239">
        <f t="shared" si="12"/>
        <v>-58656</v>
      </c>
      <c r="W165" s="240">
        <f t="shared" si="13"/>
        <v>-1</v>
      </c>
      <c r="X165" s="240"/>
    </row>
    <row r="166" spans="1:24" x14ac:dyDescent="0.25">
      <c r="A166" s="153" t="s">
        <v>235</v>
      </c>
      <c r="B166" s="300" t="s">
        <v>684</v>
      </c>
      <c r="C166" s="301" t="s">
        <v>685</v>
      </c>
      <c r="D166" s="302">
        <v>52</v>
      </c>
      <c r="E166" s="303">
        <v>800</v>
      </c>
      <c r="F166" s="48">
        <f>D166*E166</f>
        <v>41600</v>
      </c>
      <c r="G166" s="295">
        <f>F166*C4</f>
        <v>58656</v>
      </c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62"/>
      <c r="S166" s="225">
        <f t="shared" si="9"/>
        <v>-41600</v>
      </c>
      <c r="T166" s="231">
        <f t="shared" si="10"/>
        <v>-1</v>
      </c>
      <c r="U166" s="225">
        <f t="shared" si="11"/>
        <v>0</v>
      </c>
      <c r="V166" s="225">
        <f t="shared" si="12"/>
        <v>-58656</v>
      </c>
      <c r="W166" s="231">
        <f t="shared" si="13"/>
        <v>-1</v>
      </c>
      <c r="X166" s="231"/>
    </row>
    <row r="167" spans="1:24" hidden="1" x14ac:dyDescent="0.25">
      <c r="A167" s="153" t="s">
        <v>236</v>
      </c>
      <c r="B167" s="106" t="s">
        <v>299</v>
      </c>
      <c r="C167" s="28"/>
      <c r="D167" s="29"/>
      <c r="E167" s="30"/>
      <c r="F167" s="48">
        <f>D167*E167</f>
        <v>0</v>
      </c>
      <c r="G167" s="295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9"/>
        <v>0</v>
      </c>
      <c r="T167" s="231">
        <f t="shared" si="10"/>
        <v>0</v>
      </c>
      <c r="U167" s="225">
        <f t="shared" si="11"/>
        <v>0</v>
      </c>
      <c r="V167" s="225">
        <f t="shared" si="12"/>
        <v>0</v>
      </c>
      <c r="W167" s="231">
        <f t="shared" si="13"/>
        <v>0</v>
      </c>
      <c r="X167" s="231"/>
    </row>
    <row r="168" spans="1:24" hidden="1" x14ac:dyDescent="0.25">
      <c r="A168" s="153" t="s">
        <v>237</v>
      </c>
      <c r="B168" s="106" t="s">
        <v>300</v>
      </c>
      <c r="C168" s="28"/>
      <c r="D168" s="29"/>
      <c r="E168" s="30"/>
      <c r="F168" s="48">
        <f>D168*E168</f>
        <v>0</v>
      </c>
      <c r="G168" s="295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9"/>
        <v>0</v>
      </c>
      <c r="T168" s="231">
        <f t="shared" si="10"/>
        <v>0</v>
      </c>
      <c r="U168" s="225">
        <f t="shared" si="11"/>
        <v>0</v>
      </c>
      <c r="V168" s="225">
        <f t="shared" si="12"/>
        <v>0</v>
      </c>
      <c r="W168" s="231">
        <f t="shared" si="13"/>
        <v>0</v>
      </c>
      <c r="X168" s="231"/>
    </row>
    <row r="169" spans="1:24" hidden="1" x14ac:dyDescent="0.25">
      <c r="A169" s="153" t="s">
        <v>238</v>
      </c>
      <c r="B169" s="106" t="s">
        <v>301</v>
      </c>
      <c r="C169" s="28"/>
      <c r="D169" s="29"/>
      <c r="E169" s="30"/>
      <c r="F169" s="48">
        <f>D169*E169</f>
        <v>0</v>
      </c>
      <c r="G169" s="295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9"/>
        <v>0</v>
      </c>
      <c r="T169" s="231">
        <f t="shared" si="10"/>
        <v>0</v>
      </c>
      <c r="U169" s="225">
        <f t="shared" si="11"/>
        <v>0</v>
      </c>
      <c r="V169" s="225">
        <f t="shared" si="12"/>
        <v>0</v>
      </c>
      <c r="W169" s="231">
        <f t="shared" si="13"/>
        <v>0</v>
      </c>
      <c r="X169" s="231"/>
    </row>
    <row r="170" spans="1:24" hidden="1" x14ac:dyDescent="0.25">
      <c r="A170" s="153" t="s">
        <v>239</v>
      </c>
      <c r="B170" s="106" t="s">
        <v>302</v>
      </c>
      <c r="C170" s="28"/>
      <c r="D170" s="29"/>
      <c r="E170" s="30"/>
      <c r="F170" s="48">
        <f>D170*E170</f>
        <v>0</v>
      </c>
      <c r="G170" s="295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9"/>
        <v>0</v>
      </c>
      <c r="T170" s="231">
        <f t="shared" si="10"/>
        <v>0</v>
      </c>
      <c r="U170" s="225">
        <f t="shared" si="11"/>
        <v>0</v>
      </c>
      <c r="V170" s="225">
        <f t="shared" si="12"/>
        <v>0</v>
      </c>
      <c r="W170" s="231">
        <f t="shared" si="13"/>
        <v>0</v>
      </c>
      <c r="X170" s="231"/>
    </row>
    <row r="171" spans="1:24" hidden="1" x14ac:dyDescent="0.25">
      <c r="A171" s="220" t="s">
        <v>103</v>
      </c>
      <c r="B171" s="221" t="s">
        <v>296</v>
      </c>
      <c r="C171" s="217"/>
      <c r="D171" s="218"/>
      <c r="E171" s="219"/>
      <c r="F171" s="208">
        <f>SUM(F172:F176)</f>
        <v>0</v>
      </c>
      <c r="G171" s="315">
        <f>SUM(G172:G176)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39">
        <f t="shared" si="9"/>
        <v>0</v>
      </c>
      <c r="T171" s="240">
        <f t="shared" si="10"/>
        <v>0</v>
      </c>
      <c r="U171" s="239">
        <f t="shared" si="11"/>
        <v>0</v>
      </c>
      <c r="V171" s="239">
        <f t="shared" si="12"/>
        <v>0</v>
      </c>
      <c r="W171" s="240">
        <f t="shared" si="13"/>
        <v>0</v>
      </c>
      <c r="X171" s="240"/>
    </row>
    <row r="172" spans="1:24" hidden="1" x14ac:dyDescent="0.25">
      <c r="A172" s="148" t="s">
        <v>240</v>
      </c>
      <c r="B172" s="106" t="s">
        <v>297</v>
      </c>
      <c r="C172" s="28"/>
      <c r="D172" s="29"/>
      <c r="E172" s="30"/>
      <c r="F172" s="48">
        <f>D172*E172</f>
        <v>0</v>
      </c>
      <c r="G172" s="295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9"/>
        <v>0</v>
      </c>
      <c r="T172" s="231">
        <f t="shared" si="10"/>
        <v>0</v>
      </c>
      <c r="U172" s="225">
        <f t="shared" si="11"/>
        <v>0</v>
      </c>
      <c r="V172" s="225">
        <f t="shared" si="12"/>
        <v>0</v>
      </c>
      <c r="W172" s="231">
        <f t="shared" si="13"/>
        <v>0</v>
      </c>
      <c r="X172" s="231"/>
    </row>
    <row r="173" spans="1:24" hidden="1" x14ac:dyDescent="0.25">
      <c r="A173" s="148" t="s">
        <v>241</v>
      </c>
      <c r="B173" s="106" t="s">
        <v>303</v>
      </c>
      <c r="C173" s="28"/>
      <c r="D173" s="29"/>
      <c r="E173" s="30"/>
      <c r="F173" s="48">
        <f>D173*E173</f>
        <v>0</v>
      </c>
      <c r="G173" s="295">
        <f>F173*C4</f>
        <v>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9"/>
        <v>0</v>
      </c>
      <c r="T173" s="231">
        <f t="shared" si="10"/>
        <v>0</v>
      </c>
      <c r="U173" s="225">
        <f t="shared" si="11"/>
        <v>0</v>
      </c>
      <c r="V173" s="225">
        <f t="shared" si="12"/>
        <v>0</v>
      </c>
      <c r="W173" s="231">
        <f t="shared" si="13"/>
        <v>0</v>
      </c>
      <c r="X173" s="231"/>
    </row>
    <row r="174" spans="1:24" hidden="1" x14ac:dyDescent="0.25">
      <c r="A174" s="148" t="s">
        <v>242</v>
      </c>
      <c r="B174" s="106" t="s">
        <v>304</v>
      </c>
      <c r="C174" s="28"/>
      <c r="D174" s="29"/>
      <c r="E174" s="30"/>
      <c r="F174" s="48">
        <f>D174*E174</f>
        <v>0</v>
      </c>
      <c r="G174" s="295">
        <f>F174*C4</f>
        <v>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9"/>
        <v>0</v>
      </c>
      <c r="T174" s="231">
        <f t="shared" si="10"/>
        <v>0</v>
      </c>
      <c r="U174" s="225">
        <f t="shared" si="11"/>
        <v>0</v>
      </c>
      <c r="V174" s="225">
        <f t="shared" si="12"/>
        <v>0</v>
      </c>
      <c r="W174" s="231">
        <f t="shared" si="13"/>
        <v>0</v>
      </c>
      <c r="X174" s="231"/>
    </row>
    <row r="175" spans="1:24" hidden="1" x14ac:dyDescent="0.25">
      <c r="A175" s="148" t="s">
        <v>243</v>
      </c>
      <c r="B175" s="106" t="s">
        <v>305</v>
      </c>
      <c r="C175" s="28"/>
      <c r="D175" s="29"/>
      <c r="E175" s="30"/>
      <c r="F175" s="48">
        <f>D175*E175</f>
        <v>0</v>
      </c>
      <c r="G175" s="295">
        <f>F175*C4</f>
        <v>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9"/>
        <v>0</v>
      </c>
      <c r="T175" s="231">
        <f t="shared" si="10"/>
        <v>0</v>
      </c>
      <c r="U175" s="225">
        <f t="shared" si="11"/>
        <v>0</v>
      </c>
      <c r="V175" s="225">
        <f t="shared" si="12"/>
        <v>0</v>
      </c>
      <c r="W175" s="231">
        <f t="shared" si="13"/>
        <v>0</v>
      </c>
      <c r="X175" s="231"/>
    </row>
    <row r="176" spans="1:24" hidden="1" x14ac:dyDescent="0.25">
      <c r="A176" s="148" t="s">
        <v>244</v>
      </c>
      <c r="B176" s="106" t="s">
        <v>306</v>
      </c>
      <c r="C176" s="28"/>
      <c r="D176" s="29"/>
      <c r="E176" s="30"/>
      <c r="F176" s="48">
        <f>D176*E176</f>
        <v>0</v>
      </c>
      <c r="G176" s="295">
        <f>F176*C4</f>
        <v>0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>
        <f t="shared" si="9"/>
        <v>0</v>
      </c>
      <c r="T176" s="231">
        <f t="shared" si="10"/>
        <v>0</v>
      </c>
      <c r="U176" s="225">
        <f t="shared" si="11"/>
        <v>0</v>
      </c>
      <c r="V176" s="225">
        <f t="shared" si="12"/>
        <v>0</v>
      </c>
      <c r="W176" s="231">
        <f t="shared" si="13"/>
        <v>0</v>
      </c>
      <c r="X176" s="231"/>
    </row>
    <row r="177" spans="1:24" x14ac:dyDescent="0.25">
      <c r="B177" s="149"/>
      <c r="C177" s="31"/>
      <c r="D177" s="32"/>
      <c r="E177" s="33"/>
      <c r="F177" s="48"/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57"/>
      <c r="S177" s="225"/>
      <c r="T177" s="231"/>
      <c r="U177" s="225"/>
      <c r="V177" s="225"/>
      <c r="W177" s="231"/>
      <c r="X177" s="231"/>
    </row>
    <row r="178" spans="1:24" ht="13.8" thickBot="1" x14ac:dyDescent="0.3">
      <c r="A178" s="99"/>
      <c r="B178" s="146" t="s">
        <v>124</v>
      </c>
      <c r="C178" s="118"/>
      <c r="D178" s="122"/>
      <c r="E178" s="123"/>
      <c r="F178" s="50">
        <f>SUM(F106+F112+F118+F124+F130+F147+F153+F159+F165+F171)</f>
        <v>263845.94799999997</v>
      </c>
      <c r="G178" s="50">
        <f>SUM(G106+G112+G118+G124+G130+G147+G153+G159+G165+G171)</f>
        <v>372022.78667999996</v>
      </c>
      <c r="H178" s="244"/>
      <c r="I178" s="244"/>
      <c r="J178" s="244"/>
      <c r="K178" s="244"/>
      <c r="L178" s="244"/>
      <c r="M178" s="244"/>
      <c r="N178" s="244"/>
      <c r="O178" s="244"/>
      <c r="P178" s="244"/>
      <c r="Q178" s="253"/>
      <c r="R178" s="263"/>
      <c r="S178" s="237">
        <f t="shared" si="9"/>
        <v>-263845.94799999997</v>
      </c>
      <c r="T178" s="238">
        <f t="shared" si="10"/>
        <v>-1</v>
      </c>
      <c r="U178" s="237">
        <f t="shared" si="11"/>
        <v>0</v>
      </c>
      <c r="V178" s="237">
        <f t="shared" si="12"/>
        <v>-372022.78667999996</v>
      </c>
      <c r="W178" s="238">
        <f t="shared" si="13"/>
        <v>-1</v>
      </c>
      <c r="X178" s="238"/>
    </row>
    <row r="179" spans="1:24" ht="13.8" thickTop="1" x14ac:dyDescent="0.25">
      <c r="C179" s="80"/>
      <c r="D179" s="71"/>
      <c r="E179" s="72"/>
      <c r="G179" s="48"/>
      <c r="H179" s="245"/>
      <c r="I179" s="245"/>
      <c r="J179" s="245"/>
      <c r="K179" s="245"/>
      <c r="L179" s="245"/>
      <c r="M179" s="245"/>
      <c r="N179" s="245"/>
      <c r="O179" s="245"/>
      <c r="P179" s="245"/>
      <c r="Q179" s="254"/>
      <c r="R179" s="261"/>
      <c r="S179" s="225"/>
      <c r="T179" s="231"/>
      <c r="U179" s="225"/>
      <c r="V179" s="225"/>
      <c r="W179" s="231"/>
      <c r="X179" s="231"/>
    </row>
    <row r="180" spans="1:24" x14ac:dyDescent="0.25">
      <c r="A180" s="125">
        <v>3</v>
      </c>
      <c r="B180" s="126" t="s">
        <v>127</v>
      </c>
      <c r="C180" s="130"/>
      <c r="D180" s="129"/>
      <c r="E180" s="131"/>
      <c r="F180" s="131"/>
      <c r="G180" s="147"/>
      <c r="H180" s="241"/>
      <c r="I180" s="241"/>
      <c r="J180" s="241"/>
      <c r="K180" s="241"/>
      <c r="L180" s="241"/>
      <c r="M180" s="241"/>
      <c r="N180" s="241"/>
      <c r="O180" s="241"/>
      <c r="P180" s="241"/>
      <c r="Q180" s="252"/>
      <c r="R180" s="260"/>
      <c r="S180" s="230"/>
      <c r="T180" s="232"/>
      <c r="U180" s="230"/>
      <c r="V180" s="230"/>
      <c r="W180" s="232"/>
      <c r="X180" s="232"/>
    </row>
    <row r="181" spans="1:24" x14ac:dyDescent="0.25">
      <c r="A181" s="157" t="s">
        <v>132</v>
      </c>
      <c r="B181" s="140" t="s">
        <v>809</v>
      </c>
      <c r="C181" s="296" t="s">
        <v>686</v>
      </c>
      <c r="D181" s="297">
        <v>2</v>
      </c>
      <c r="E181" s="298">
        <v>15000</v>
      </c>
      <c r="F181" s="3">
        <f>D181*E181</f>
        <v>30000</v>
      </c>
      <c r="G181" s="51">
        <f>F181*C4</f>
        <v>42300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9"/>
        <v>-30000</v>
      </c>
      <c r="T181" s="231">
        <f t="shared" si="10"/>
        <v>-1</v>
      </c>
      <c r="U181" s="225">
        <f t="shared" si="11"/>
        <v>0</v>
      </c>
      <c r="V181" s="225">
        <f t="shared" si="12"/>
        <v>-42300</v>
      </c>
      <c r="W181" s="231">
        <f t="shared" si="13"/>
        <v>-1</v>
      </c>
      <c r="X181" s="231"/>
    </row>
    <row r="182" spans="1:24" x14ac:dyDescent="0.25">
      <c r="A182" s="157" t="s">
        <v>133</v>
      </c>
      <c r="B182" s="140" t="s">
        <v>48</v>
      </c>
      <c r="C182" s="296" t="s">
        <v>666</v>
      </c>
      <c r="D182" s="297">
        <v>1</v>
      </c>
      <c r="E182" s="298">
        <v>4000</v>
      </c>
      <c r="F182" s="3">
        <f t="shared" ref="F182:F189" si="14">D182*E182</f>
        <v>4000</v>
      </c>
      <c r="G182" s="51">
        <f>F182*C4</f>
        <v>5640</v>
      </c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62"/>
      <c r="S182" s="225">
        <f t="shared" si="9"/>
        <v>-4000</v>
      </c>
      <c r="T182" s="231">
        <f t="shared" si="10"/>
        <v>-1</v>
      </c>
      <c r="U182" s="225">
        <f t="shared" si="11"/>
        <v>0</v>
      </c>
      <c r="V182" s="225">
        <f t="shared" si="12"/>
        <v>-5640</v>
      </c>
      <c r="W182" s="231">
        <f t="shared" si="13"/>
        <v>-1</v>
      </c>
      <c r="X182" s="231"/>
    </row>
    <row r="183" spans="1:24" hidden="1" x14ac:dyDescent="0.25">
      <c r="A183" s="157" t="s">
        <v>134</v>
      </c>
      <c r="B183" s="140" t="s">
        <v>106</v>
      </c>
      <c r="C183" s="34"/>
      <c r="D183" s="35"/>
      <c r="E183" s="36"/>
      <c r="F183" s="3">
        <f t="shared" si="14"/>
        <v>0</v>
      </c>
      <c r="G183" s="51">
        <f>F183*C4</f>
        <v>0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9"/>
        <v>0</v>
      </c>
      <c r="T183" s="231">
        <f t="shared" si="10"/>
        <v>0</v>
      </c>
      <c r="U183" s="225">
        <f t="shared" si="11"/>
        <v>0</v>
      </c>
      <c r="V183" s="225">
        <f t="shared" si="12"/>
        <v>0</v>
      </c>
      <c r="W183" s="231">
        <f t="shared" si="13"/>
        <v>0</v>
      </c>
      <c r="X183" s="231"/>
    </row>
    <row r="184" spans="1:24" x14ac:dyDescent="0.25">
      <c r="A184" s="157" t="s">
        <v>135</v>
      </c>
      <c r="B184" s="140" t="s">
        <v>140</v>
      </c>
      <c r="C184" s="307" t="s">
        <v>666</v>
      </c>
      <c r="D184" s="296">
        <v>1</v>
      </c>
      <c r="E184" s="297">
        <v>5000</v>
      </c>
      <c r="F184" s="3">
        <f t="shared" si="14"/>
        <v>5000</v>
      </c>
      <c r="G184" s="51">
        <f>F184*C4</f>
        <v>7050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9"/>
        <v>-5000</v>
      </c>
      <c r="T184" s="231">
        <f t="shared" si="10"/>
        <v>-1</v>
      </c>
      <c r="U184" s="225">
        <f t="shared" si="11"/>
        <v>0</v>
      </c>
      <c r="V184" s="225">
        <f t="shared" si="12"/>
        <v>-7050</v>
      </c>
      <c r="W184" s="231">
        <f t="shared" si="13"/>
        <v>-1</v>
      </c>
      <c r="X184" s="231"/>
    </row>
    <row r="185" spans="1:24" ht="15" hidden="1" customHeight="1" x14ac:dyDescent="0.25">
      <c r="A185" s="157" t="s">
        <v>136</v>
      </c>
      <c r="B185" s="140" t="s">
        <v>141</v>
      </c>
      <c r="C185" s="34"/>
      <c r="D185" s="35"/>
      <c r="E185" s="36"/>
      <c r="F185" s="3">
        <f t="shared" si="14"/>
        <v>0</v>
      </c>
      <c r="G185" s="51">
        <f>F185*C4</f>
        <v>0</v>
      </c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62"/>
      <c r="S185" s="225">
        <f t="shared" si="9"/>
        <v>0</v>
      </c>
      <c r="T185" s="231">
        <f t="shared" si="10"/>
        <v>0</v>
      </c>
      <c r="U185" s="225">
        <f t="shared" si="11"/>
        <v>0</v>
      </c>
      <c r="V185" s="225">
        <f t="shared" si="12"/>
        <v>0</v>
      </c>
      <c r="W185" s="231">
        <f t="shared" si="13"/>
        <v>0</v>
      </c>
      <c r="X185" s="231"/>
    </row>
    <row r="186" spans="1:24" ht="15" hidden="1" customHeight="1" x14ac:dyDescent="0.25">
      <c r="A186" s="157" t="s">
        <v>137</v>
      </c>
      <c r="B186" s="140" t="s">
        <v>246</v>
      </c>
      <c r="C186" s="34"/>
      <c r="D186" s="35"/>
      <c r="E186" s="36"/>
      <c r="F186" s="3">
        <f>D186*E186</f>
        <v>0</v>
      </c>
      <c r="G186" s="51">
        <f>F186*C4</f>
        <v>0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9"/>
        <v>0</v>
      </c>
      <c r="T186" s="231">
        <f t="shared" si="10"/>
        <v>0</v>
      </c>
      <c r="U186" s="225">
        <f t="shared" si="11"/>
        <v>0</v>
      </c>
      <c r="V186" s="225">
        <f t="shared" si="12"/>
        <v>0</v>
      </c>
      <c r="W186" s="231">
        <f t="shared" si="13"/>
        <v>0</v>
      </c>
      <c r="X186" s="231"/>
    </row>
    <row r="187" spans="1:24" x14ac:dyDescent="0.25">
      <c r="A187" s="157" t="s">
        <v>138</v>
      </c>
      <c r="B187" s="140" t="s">
        <v>139</v>
      </c>
      <c r="C187" s="307" t="s">
        <v>687</v>
      </c>
      <c r="D187" s="296">
        <v>1</v>
      </c>
      <c r="E187" s="297">
        <v>3000</v>
      </c>
      <c r="F187" s="3">
        <f t="shared" si="14"/>
        <v>3000</v>
      </c>
      <c r="G187" s="51">
        <f>F187*C4</f>
        <v>4230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9"/>
        <v>-3000</v>
      </c>
      <c r="T187" s="231">
        <f t="shared" si="10"/>
        <v>-1</v>
      </c>
      <c r="U187" s="225">
        <f t="shared" si="11"/>
        <v>0</v>
      </c>
      <c r="V187" s="225">
        <f t="shared" si="12"/>
        <v>-4230</v>
      </c>
      <c r="W187" s="231">
        <f t="shared" si="13"/>
        <v>-1</v>
      </c>
      <c r="X187" s="231"/>
    </row>
    <row r="188" spans="1:24" x14ac:dyDescent="0.25">
      <c r="A188" s="157" t="s">
        <v>245</v>
      </c>
      <c r="B188" s="140" t="s">
        <v>165</v>
      </c>
      <c r="C188" s="307" t="s">
        <v>687</v>
      </c>
      <c r="D188" s="296">
        <v>1</v>
      </c>
      <c r="E188" s="297">
        <v>3000</v>
      </c>
      <c r="F188" s="3">
        <f t="shared" si="14"/>
        <v>3000</v>
      </c>
      <c r="G188" s="51">
        <f>F188*C4</f>
        <v>4230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9"/>
        <v>-3000</v>
      </c>
      <c r="T188" s="231">
        <f t="shared" si="10"/>
        <v>-1</v>
      </c>
      <c r="U188" s="225">
        <f t="shared" si="11"/>
        <v>0</v>
      </c>
      <c r="V188" s="225">
        <f t="shared" si="12"/>
        <v>-4230</v>
      </c>
      <c r="W188" s="231">
        <f t="shared" si="13"/>
        <v>-1</v>
      </c>
      <c r="X188" s="231"/>
    </row>
    <row r="189" spans="1:24" x14ac:dyDescent="0.25">
      <c r="A189" s="157" t="s">
        <v>561</v>
      </c>
      <c r="B189" s="140" t="s">
        <v>693</v>
      </c>
      <c r="C189" s="311" t="s">
        <v>331</v>
      </c>
      <c r="D189" s="312">
        <v>1</v>
      </c>
      <c r="E189" s="313">
        <v>10000</v>
      </c>
      <c r="F189" s="3">
        <f t="shared" si="14"/>
        <v>10000</v>
      </c>
      <c r="G189" s="51">
        <f>F189*C4</f>
        <v>14100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9"/>
        <v>-10000</v>
      </c>
      <c r="T189" s="231">
        <f t="shared" si="10"/>
        <v>-1</v>
      </c>
      <c r="U189" s="225"/>
      <c r="V189" s="225"/>
      <c r="W189" s="231"/>
      <c r="X189" s="231"/>
    </row>
    <row r="190" spans="1:24" x14ac:dyDescent="0.25">
      <c r="B190" s="109"/>
      <c r="C190" s="80"/>
      <c r="D190" s="71"/>
      <c r="E190" s="72"/>
      <c r="G190" s="48"/>
      <c r="H190" s="245"/>
      <c r="I190" s="245"/>
      <c r="J190" s="245"/>
      <c r="K190" s="245"/>
      <c r="L190" s="245"/>
      <c r="M190" s="245"/>
      <c r="N190" s="245"/>
      <c r="O190" s="245"/>
      <c r="P190" s="245"/>
      <c r="Q190" s="254"/>
      <c r="R190" s="261"/>
      <c r="S190" s="225"/>
      <c r="T190" s="231"/>
      <c r="U190" s="225"/>
      <c r="V190" s="225"/>
      <c r="W190" s="231"/>
      <c r="X190" s="231"/>
    </row>
    <row r="191" spans="1:24" ht="13.8" thickBot="1" x14ac:dyDescent="0.3">
      <c r="A191" s="99"/>
      <c r="B191" s="146" t="s">
        <v>108</v>
      </c>
      <c r="C191" s="118"/>
      <c r="D191" s="122"/>
      <c r="E191" s="123"/>
      <c r="F191" s="50">
        <f>SUM(F181:F189)</f>
        <v>55000</v>
      </c>
      <c r="G191" s="50">
        <f>SUM(G181:G189)</f>
        <v>77550</v>
      </c>
      <c r="H191" s="244"/>
      <c r="I191" s="244"/>
      <c r="J191" s="244"/>
      <c r="K191" s="244"/>
      <c r="L191" s="244"/>
      <c r="M191" s="244"/>
      <c r="N191" s="244"/>
      <c r="O191" s="244"/>
      <c r="P191" s="244"/>
      <c r="Q191" s="253"/>
      <c r="R191" s="263"/>
      <c r="S191" s="237">
        <f t="shared" si="9"/>
        <v>-55000</v>
      </c>
      <c r="T191" s="238">
        <f t="shared" si="10"/>
        <v>-1</v>
      </c>
      <c r="U191" s="237">
        <f t="shared" si="11"/>
        <v>0</v>
      </c>
      <c r="V191" s="237">
        <f t="shared" si="12"/>
        <v>-77550</v>
      </c>
      <c r="W191" s="238">
        <f t="shared" si="13"/>
        <v>-1</v>
      </c>
      <c r="X191" s="238"/>
    </row>
    <row r="192" spans="1:24" ht="13.8" thickTop="1" x14ac:dyDescent="0.25">
      <c r="B192" s="77"/>
      <c r="C192" s="162"/>
      <c r="D192" s="161"/>
      <c r="E192" s="74"/>
      <c r="F192" s="48"/>
      <c r="G192" s="1"/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/>
      <c r="T192" s="231"/>
      <c r="U192" s="225"/>
      <c r="V192" s="225"/>
      <c r="W192" s="231"/>
      <c r="X192" s="231"/>
    </row>
    <row r="193" spans="1:24" x14ac:dyDescent="0.25">
      <c r="A193" s="125">
        <v>4</v>
      </c>
      <c r="B193" s="126" t="s">
        <v>107</v>
      </c>
      <c r="C193" s="130"/>
      <c r="D193" s="129"/>
      <c r="E193" s="131"/>
      <c r="F193" s="131"/>
      <c r="G193" s="147"/>
      <c r="H193" s="241"/>
      <c r="I193" s="241"/>
      <c r="J193" s="241"/>
      <c r="K193" s="241"/>
      <c r="L193" s="241"/>
      <c r="M193" s="241"/>
      <c r="N193" s="241"/>
      <c r="O193" s="241"/>
      <c r="P193" s="241"/>
      <c r="Q193" s="252"/>
      <c r="R193" s="260"/>
      <c r="S193" s="230"/>
      <c r="T193" s="232"/>
      <c r="U193" s="230"/>
      <c r="V193" s="230"/>
      <c r="W193" s="232"/>
      <c r="X193" s="232"/>
    </row>
    <row r="194" spans="1:24" x14ac:dyDescent="0.25">
      <c r="A194" s="70" t="s">
        <v>19</v>
      </c>
      <c r="B194" s="77"/>
      <c r="C194" s="162"/>
      <c r="D194" s="161"/>
      <c r="E194" s="74"/>
      <c r="F194" s="48"/>
      <c r="G194" s="1"/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/>
      <c r="T194" s="231"/>
      <c r="U194" s="225"/>
      <c r="V194" s="225"/>
      <c r="W194" s="231"/>
      <c r="X194" s="231"/>
    </row>
    <row r="195" spans="1:24" x14ac:dyDescent="0.25">
      <c r="A195" s="77" t="s">
        <v>142</v>
      </c>
      <c r="B195" s="163" t="s">
        <v>44</v>
      </c>
      <c r="C195" s="298">
        <v>8</v>
      </c>
      <c r="D195" s="298">
        <v>10</v>
      </c>
      <c r="E195" s="298">
        <v>1060</v>
      </c>
      <c r="F195" s="48">
        <f>D195*E195</f>
        <v>10600</v>
      </c>
      <c r="G195" s="1">
        <f>F195*C4</f>
        <v>14946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62"/>
      <c r="S195" s="225">
        <f t="shared" si="9"/>
        <v>-10600</v>
      </c>
      <c r="T195" s="231">
        <f t="shared" si="10"/>
        <v>-1</v>
      </c>
      <c r="U195" s="225">
        <f t="shared" si="11"/>
        <v>0</v>
      </c>
      <c r="V195" s="225">
        <f t="shared" si="12"/>
        <v>-14946</v>
      </c>
      <c r="W195" s="231">
        <f t="shared" si="13"/>
        <v>-1</v>
      </c>
      <c r="X195" s="231"/>
    </row>
    <row r="196" spans="1:24" x14ac:dyDescent="0.25">
      <c r="A196" s="77" t="s">
        <v>143</v>
      </c>
      <c r="B196" s="163" t="s">
        <v>45</v>
      </c>
      <c r="C196" s="298">
        <v>8</v>
      </c>
      <c r="D196" s="298">
        <v>10</v>
      </c>
      <c r="E196" s="298">
        <v>400</v>
      </c>
      <c r="F196" s="48">
        <f>D196*E196</f>
        <v>4000</v>
      </c>
      <c r="G196" s="1">
        <f>F196*C4</f>
        <v>5640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62"/>
      <c r="S196" s="225">
        <f t="shared" si="9"/>
        <v>-4000</v>
      </c>
      <c r="T196" s="231">
        <f t="shared" si="10"/>
        <v>-1</v>
      </c>
      <c r="U196" s="225">
        <f t="shared" si="11"/>
        <v>0</v>
      </c>
      <c r="V196" s="225">
        <f t="shared" si="12"/>
        <v>-5640</v>
      </c>
      <c r="W196" s="231">
        <f t="shared" si="13"/>
        <v>-1</v>
      </c>
      <c r="X196" s="231"/>
    </row>
    <row r="197" spans="1:24" x14ac:dyDescent="0.25">
      <c r="A197" s="70" t="s">
        <v>7</v>
      </c>
      <c r="B197" s="137"/>
      <c r="C197" s="22"/>
      <c r="D197" s="44"/>
      <c r="E197" s="14"/>
      <c r="F197" s="48"/>
      <c r="G197" s="1"/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57"/>
      <c r="S197" s="225"/>
      <c r="T197" s="231"/>
      <c r="U197" s="225"/>
      <c r="V197" s="225"/>
      <c r="W197" s="231"/>
      <c r="X197" s="231"/>
    </row>
    <row r="198" spans="1:24" x14ac:dyDescent="0.25">
      <c r="A198" s="77" t="s">
        <v>144</v>
      </c>
      <c r="B198" s="163" t="s">
        <v>46</v>
      </c>
      <c r="C198" s="296" t="s">
        <v>688</v>
      </c>
      <c r="D198" s="297">
        <v>9</v>
      </c>
      <c r="E198" s="298">
        <v>500</v>
      </c>
      <c r="F198" s="48">
        <f>D198*E198</f>
        <v>4500</v>
      </c>
      <c r="G198" s="49">
        <f>F198*C4</f>
        <v>6345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9"/>
        <v>-4500</v>
      </c>
      <c r="T198" s="231">
        <f t="shared" si="10"/>
        <v>-1</v>
      </c>
      <c r="U198" s="225">
        <f t="shared" si="11"/>
        <v>0</v>
      </c>
      <c r="V198" s="225">
        <f t="shared" si="12"/>
        <v>-6345</v>
      </c>
      <c r="W198" s="231">
        <f t="shared" si="13"/>
        <v>-1</v>
      </c>
      <c r="X198" s="231"/>
    </row>
    <row r="199" spans="1:24" x14ac:dyDescent="0.25">
      <c r="A199" s="77" t="s">
        <v>145</v>
      </c>
      <c r="B199" s="137" t="s">
        <v>47</v>
      </c>
      <c r="C199" s="296" t="s">
        <v>688</v>
      </c>
      <c r="D199" s="297">
        <v>10</v>
      </c>
      <c r="E199" s="298">
        <v>840</v>
      </c>
      <c r="F199" s="48">
        <f>D199*E199</f>
        <v>8400</v>
      </c>
      <c r="G199" s="49">
        <f>F199*C4</f>
        <v>11844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9"/>
        <v>-8400</v>
      </c>
      <c r="T199" s="231">
        <f t="shared" si="10"/>
        <v>-1</v>
      </c>
      <c r="U199" s="225">
        <f t="shared" si="11"/>
        <v>0</v>
      </c>
      <c r="V199" s="225">
        <f t="shared" si="12"/>
        <v>-11844</v>
      </c>
      <c r="W199" s="231">
        <f t="shared" si="13"/>
        <v>-1</v>
      </c>
      <c r="X199" s="231"/>
    </row>
    <row r="200" spans="1:24" x14ac:dyDescent="0.25">
      <c r="A200" s="70" t="s">
        <v>8</v>
      </c>
      <c r="B200" s="137"/>
      <c r="C200" s="52"/>
      <c r="D200" s="23"/>
      <c r="E200" s="24"/>
      <c r="F200" s="48"/>
      <c r="G200" s="1"/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57"/>
      <c r="S200" s="225"/>
      <c r="T200" s="231"/>
      <c r="U200" s="225"/>
      <c r="V200" s="225"/>
      <c r="W200" s="231"/>
      <c r="X200" s="231"/>
    </row>
    <row r="201" spans="1:24" x14ac:dyDescent="0.25">
      <c r="A201" s="77" t="s">
        <v>150</v>
      </c>
      <c r="B201" s="308" t="s">
        <v>181</v>
      </c>
      <c r="C201" s="296" t="s">
        <v>688</v>
      </c>
      <c r="D201" s="297">
        <v>12</v>
      </c>
      <c r="E201" s="298">
        <v>980</v>
      </c>
      <c r="F201" s="48">
        <f>D201*E201</f>
        <v>11760</v>
      </c>
      <c r="G201" s="1">
        <f>F201*C4</f>
        <v>16581.599999999999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9"/>
        <v>-11760</v>
      </c>
      <c r="T201" s="231">
        <f t="shared" si="10"/>
        <v>-1</v>
      </c>
      <c r="U201" s="225">
        <f t="shared" si="11"/>
        <v>0</v>
      </c>
      <c r="V201" s="225">
        <f t="shared" si="12"/>
        <v>-16581.599999999999</v>
      </c>
      <c r="W201" s="231">
        <f t="shared" si="13"/>
        <v>-1</v>
      </c>
      <c r="X201" s="231"/>
    </row>
    <row r="202" spans="1:24" x14ac:dyDescent="0.25">
      <c r="A202" s="77" t="s">
        <v>146</v>
      </c>
      <c r="B202" s="308" t="s">
        <v>50</v>
      </c>
      <c r="C202" s="296" t="s">
        <v>688</v>
      </c>
      <c r="D202" s="297">
        <v>12</v>
      </c>
      <c r="E202" s="298">
        <v>500</v>
      </c>
      <c r="F202" s="48">
        <f>D202*E202</f>
        <v>6000</v>
      </c>
      <c r="G202" s="1">
        <f>F202*C4</f>
        <v>8460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9"/>
        <v>-6000</v>
      </c>
      <c r="T202" s="231">
        <f t="shared" si="10"/>
        <v>-1</v>
      </c>
      <c r="U202" s="225">
        <f t="shared" si="11"/>
        <v>0</v>
      </c>
      <c r="V202" s="225">
        <f t="shared" si="12"/>
        <v>-8460</v>
      </c>
      <c r="W202" s="231">
        <f t="shared" si="13"/>
        <v>-1</v>
      </c>
      <c r="X202" s="231"/>
    </row>
    <row r="203" spans="1:24" x14ac:dyDescent="0.25">
      <c r="A203" s="77" t="s">
        <v>147</v>
      </c>
      <c r="B203" s="308" t="s">
        <v>51</v>
      </c>
      <c r="C203" s="296" t="s">
        <v>688</v>
      </c>
      <c r="D203" s="297">
        <v>12</v>
      </c>
      <c r="E203" s="309">
        <v>120</v>
      </c>
      <c r="F203" s="48">
        <f>D203*E203</f>
        <v>1440</v>
      </c>
      <c r="G203" s="1">
        <f>F203*C4</f>
        <v>2030.3999999999999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62"/>
      <c r="S203" s="225">
        <f t="shared" si="9"/>
        <v>-1440</v>
      </c>
      <c r="T203" s="231">
        <f t="shared" si="10"/>
        <v>-1</v>
      </c>
      <c r="U203" s="225">
        <f t="shared" si="11"/>
        <v>0</v>
      </c>
      <c r="V203" s="225">
        <f t="shared" si="12"/>
        <v>-2030.3999999999999</v>
      </c>
      <c r="W203" s="231">
        <f t="shared" si="13"/>
        <v>-1</v>
      </c>
      <c r="X203" s="231"/>
    </row>
    <row r="204" spans="1:24" x14ac:dyDescent="0.25">
      <c r="A204" s="77" t="s">
        <v>148</v>
      </c>
      <c r="B204" s="308" t="s">
        <v>125</v>
      </c>
      <c r="C204" s="307" t="s">
        <v>687</v>
      </c>
      <c r="D204" s="297">
        <v>1</v>
      </c>
      <c r="E204" s="369">
        <v>10000</v>
      </c>
      <c r="F204" s="48">
        <f>D204*E204</f>
        <v>10000</v>
      </c>
      <c r="G204" s="1">
        <f>F204*C4</f>
        <v>14100</v>
      </c>
      <c r="H204" s="242"/>
      <c r="I204" s="242"/>
      <c r="J204" s="242"/>
      <c r="K204" s="242"/>
      <c r="L204" s="242"/>
      <c r="M204" s="242"/>
      <c r="N204" s="242"/>
      <c r="O204" s="242"/>
      <c r="P204" s="242"/>
      <c r="Q204" s="251"/>
      <c r="R204" s="262"/>
      <c r="S204" s="225">
        <f t="shared" si="9"/>
        <v>-10000</v>
      </c>
      <c r="T204" s="231">
        <f t="shared" si="10"/>
        <v>-1</v>
      </c>
      <c r="U204" s="225">
        <f t="shared" si="11"/>
        <v>0</v>
      </c>
      <c r="V204" s="225">
        <f t="shared" si="12"/>
        <v>-14100</v>
      </c>
      <c r="W204" s="231">
        <f t="shared" si="13"/>
        <v>-1</v>
      </c>
      <c r="X204" s="231"/>
    </row>
    <row r="205" spans="1:24" x14ac:dyDescent="0.25">
      <c r="A205" s="77" t="s">
        <v>149</v>
      </c>
      <c r="B205" s="308" t="s">
        <v>126</v>
      </c>
      <c r="C205" s="307" t="s">
        <v>687</v>
      </c>
      <c r="D205" s="297">
        <v>1</v>
      </c>
      <c r="E205" s="310">
        <v>2000</v>
      </c>
      <c r="F205" s="48">
        <f>D205*E205</f>
        <v>2000</v>
      </c>
      <c r="G205" s="1">
        <f>F205*C4</f>
        <v>2820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62"/>
      <c r="S205" s="225">
        <f t="shared" si="9"/>
        <v>-2000</v>
      </c>
      <c r="T205" s="231">
        <f t="shared" si="10"/>
        <v>-1</v>
      </c>
      <c r="U205" s="225">
        <f t="shared" si="11"/>
        <v>0</v>
      </c>
      <c r="V205" s="225">
        <f t="shared" si="12"/>
        <v>-2820</v>
      </c>
      <c r="W205" s="231">
        <f t="shared" si="13"/>
        <v>-1</v>
      </c>
      <c r="X205" s="231"/>
    </row>
    <row r="206" spans="1:24" x14ac:dyDescent="0.25">
      <c r="C206" s="5"/>
      <c r="D206" s="5"/>
      <c r="E206" s="5"/>
      <c r="F206" s="168"/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57"/>
      <c r="S206" s="225"/>
      <c r="T206" s="231"/>
      <c r="U206" s="225"/>
      <c r="V206" s="225"/>
      <c r="W206" s="231"/>
      <c r="X206" s="231"/>
    </row>
    <row r="207" spans="1:24" hidden="1" x14ac:dyDescent="0.25">
      <c r="A207" s="200"/>
      <c r="B207" s="201" t="s">
        <v>188</v>
      </c>
      <c r="C207" s="201"/>
      <c r="D207" s="201"/>
      <c r="E207" s="201"/>
      <c r="F207" s="202">
        <f>SUM(F195:F197)</f>
        <v>14600</v>
      </c>
      <c r="G207" s="201">
        <f>SUM(G195:G197)</f>
        <v>20586</v>
      </c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57"/>
      <c r="S207" s="225">
        <f t="shared" si="9"/>
        <v>-14600</v>
      </c>
      <c r="T207" s="231">
        <f t="shared" si="10"/>
        <v>-1</v>
      </c>
      <c r="U207" s="225">
        <f t="shared" si="11"/>
        <v>0</v>
      </c>
      <c r="V207" s="225">
        <f t="shared" si="12"/>
        <v>-20586</v>
      </c>
      <c r="W207" s="231">
        <f t="shared" si="13"/>
        <v>-1</v>
      </c>
      <c r="X207" s="231"/>
    </row>
    <row r="208" spans="1:24" hidden="1" x14ac:dyDescent="0.25">
      <c r="A208" s="200"/>
      <c r="B208" s="201" t="s">
        <v>7</v>
      </c>
      <c r="C208" s="201"/>
      <c r="D208" s="201"/>
      <c r="E208" s="201"/>
      <c r="F208" s="202">
        <f>SUM(F198:F200)</f>
        <v>12900</v>
      </c>
      <c r="G208" s="201">
        <f>SUM(G198:G200)</f>
        <v>18189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57"/>
      <c r="S208" s="225">
        <f t="shared" si="9"/>
        <v>-12900</v>
      </c>
      <c r="T208" s="231">
        <f t="shared" si="10"/>
        <v>-1</v>
      </c>
      <c r="U208" s="225">
        <f t="shared" si="11"/>
        <v>0</v>
      </c>
      <c r="V208" s="225">
        <f t="shared" si="12"/>
        <v>-18189</v>
      </c>
      <c r="W208" s="231">
        <f t="shared" si="13"/>
        <v>-1</v>
      </c>
      <c r="X208" s="231"/>
    </row>
    <row r="209" spans="1:24" hidden="1" x14ac:dyDescent="0.25">
      <c r="A209" s="200"/>
      <c r="B209" s="201" t="s">
        <v>8</v>
      </c>
      <c r="C209" s="201"/>
      <c r="D209" s="201"/>
      <c r="E209" s="201"/>
      <c r="F209" s="202">
        <f>SUM(F201:F206)</f>
        <v>31200</v>
      </c>
      <c r="G209" s="201">
        <f>SUM(G201:G206)</f>
        <v>43992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57"/>
      <c r="S209" s="225">
        <f t="shared" si="9"/>
        <v>-31200</v>
      </c>
      <c r="T209" s="231">
        <f t="shared" si="10"/>
        <v>-1</v>
      </c>
      <c r="U209" s="225">
        <f t="shared" si="11"/>
        <v>0</v>
      </c>
      <c r="V209" s="225">
        <f t="shared" si="12"/>
        <v>-43992</v>
      </c>
      <c r="W209" s="231">
        <f t="shared" si="13"/>
        <v>-1</v>
      </c>
      <c r="X209" s="231"/>
    </row>
    <row r="210" spans="1:24" ht="13.8" thickBot="1" x14ac:dyDescent="0.3">
      <c r="A210" s="99"/>
      <c r="B210" s="146" t="s">
        <v>109</v>
      </c>
      <c r="C210" s="118"/>
      <c r="D210" s="122"/>
      <c r="E210" s="123"/>
      <c r="F210" s="50">
        <f>SUM(F195+F196+F198+F199+F201+F202+F203+F204+F205)</f>
        <v>58700</v>
      </c>
      <c r="G210" s="50">
        <f>SUM(G195+G196+G198+G199+G201+G203+G202+G204+G205)</f>
        <v>82767</v>
      </c>
      <c r="H210" s="244"/>
      <c r="I210" s="244"/>
      <c r="J210" s="244"/>
      <c r="K210" s="244"/>
      <c r="L210" s="244"/>
      <c r="M210" s="244"/>
      <c r="N210" s="244"/>
      <c r="O210" s="244"/>
      <c r="P210" s="244"/>
      <c r="Q210" s="253"/>
      <c r="R210" s="263"/>
      <c r="S210" s="237">
        <f t="shared" si="9"/>
        <v>-58700</v>
      </c>
      <c r="T210" s="238">
        <f t="shared" si="10"/>
        <v>-1</v>
      </c>
      <c r="U210" s="237">
        <f t="shared" si="11"/>
        <v>0</v>
      </c>
      <c r="V210" s="237">
        <f t="shared" si="12"/>
        <v>-82767</v>
      </c>
      <c r="W210" s="238">
        <f t="shared" si="13"/>
        <v>-1</v>
      </c>
      <c r="X210" s="238"/>
    </row>
    <row r="211" spans="1:24" ht="13.8" thickTop="1" x14ac:dyDescent="0.25">
      <c r="A211" s="99"/>
      <c r="B211" s="146"/>
      <c r="C211" s="118"/>
      <c r="D211" s="122"/>
      <c r="E211" s="123"/>
      <c r="F211" s="169"/>
      <c r="G211" s="169"/>
      <c r="H211" s="244"/>
      <c r="I211" s="244"/>
      <c r="J211" s="244"/>
      <c r="K211" s="244"/>
      <c r="L211" s="244"/>
      <c r="M211" s="244"/>
      <c r="N211" s="244"/>
      <c r="O211" s="244"/>
      <c r="P211" s="244"/>
      <c r="Q211" s="253"/>
      <c r="R211" s="259"/>
      <c r="S211" s="225"/>
      <c r="T211" s="231"/>
      <c r="U211" s="225"/>
      <c r="V211" s="225"/>
      <c r="W211" s="231"/>
      <c r="X211" s="231"/>
    </row>
    <row r="212" spans="1:24" x14ac:dyDescent="0.25">
      <c r="A212" s="125">
        <v>5</v>
      </c>
      <c r="B212" s="126" t="s">
        <v>111</v>
      </c>
      <c r="C212" s="130"/>
      <c r="D212" s="129"/>
      <c r="E212" s="131"/>
      <c r="F212" s="131"/>
      <c r="G212" s="147"/>
      <c r="H212" s="241"/>
      <c r="I212" s="241"/>
      <c r="J212" s="241"/>
      <c r="K212" s="241"/>
      <c r="L212" s="241"/>
      <c r="M212" s="241"/>
      <c r="N212" s="241"/>
      <c r="O212" s="241"/>
      <c r="P212" s="241"/>
      <c r="Q212" s="252"/>
      <c r="R212" s="260"/>
      <c r="S212" s="230"/>
      <c r="T212" s="232"/>
      <c r="U212" s="230"/>
      <c r="V212" s="230"/>
      <c r="W212" s="232"/>
      <c r="X212" s="232"/>
    </row>
    <row r="213" spans="1:24" x14ac:dyDescent="0.25">
      <c r="A213" s="77" t="s">
        <v>151</v>
      </c>
      <c r="B213" s="163" t="s">
        <v>11</v>
      </c>
      <c r="C213" s="296" t="s">
        <v>689</v>
      </c>
      <c r="D213" s="297">
        <v>2</v>
      </c>
      <c r="E213" s="297">
        <v>800</v>
      </c>
      <c r="F213" s="48">
        <f>D213*E213</f>
        <v>1600</v>
      </c>
      <c r="G213" s="49">
        <f>F213*C4</f>
        <v>2256</v>
      </c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62"/>
      <c r="S213" s="225">
        <f t="shared" si="9"/>
        <v>-1600</v>
      </c>
      <c r="T213" s="231">
        <f t="shared" si="10"/>
        <v>-1</v>
      </c>
      <c r="U213" s="225">
        <f t="shared" si="11"/>
        <v>0</v>
      </c>
      <c r="V213" s="225">
        <f t="shared" si="12"/>
        <v>-2256</v>
      </c>
      <c r="W213" s="231">
        <f t="shared" si="13"/>
        <v>-1</v>
      </c>
      <c r="X213" s="231"/>
    </row>
    <row r="214" spans="1:24" x14ac:dyDescent="0.25">
      <c r="A214" s="77" t="s">
        <v>152</v>
      </c>
      <c r="B214" s="163" t="s">
        <v>12</v>
      </c>
      <c r="C214" s="296" t="s">
        <v>689</v>
      </c>
      <c r="D214" s="297">
        <v>1</v>
      </c>
      <c r="E214" s="370">
        <v>3800</v>
      </c>
      <c r="F214" s="48">
        <f>D214*E214</f>
        <v>3800</v>
      </c>
      <c r="G214" s="49">
        <f>F214*C4</f>
        <v>5358</v>
      </c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62"/>
      <c r="S214" s="225">
        <f t="shared" si="9"/>
        <v>-3800</v>
      </c>
      <c r="T214" s="231">
        <f t="shared" si="10"/>
        <v>-1</v>
      </c>
      <c r="U214" s="225">
        <f t="shared" si="11"/>
        <v>0</v>
      </c>
      <c r="V214" s="225">
        <f t="shared" si="12"/>
        <v>-5358</v>
      </c>
      <c r="W214" s="231">
        <f t="shared" si="13"/>
        <v>-1</v>
      </c>
      <c r="X214" s="231"/>
    </row>
    <row r="215" spans="1:24" x14ac:dyDescent="0.25">
      <c r="A215" s="77" t="s">
        <v>153</v>
      </c>
      <c r="B215" s="163" t="s">
        <v>13</v>
      </c>
      <c r="C215" s="296" t="s">
        <v>515</v>
      </c>
      <c r="D215" s="297">
        <v>1</v>
      </c>
      <c r="E215" s="298">
        <v>450</v>
      </c>
      <c r="F215" s="48">
        <f>D215*E215</f>
        <v>450</v>
      </c>
      <c r="G215" s="49">
        <f>F215*C4</f>
        <v>634.5</v>
      </c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62"/>
      <c r="S215" s="225">
        <f t="shared" si="9"/>
        <v>-450</v>
      </c>
      <c r="T215" s="231">
        <f t="shared" si="10"/>
        <v>-1</v>
      </c>
      <c r="U215" s="225">
        <f t="shared" si="11"/>
        <v>0</v>
      </c>
      <c r="V215" s="225">
        <f t="shared" si="12"/>
        <v>-634.5</v>
      </c>
      <c r="W215" s="231">
        <f t="shared" si="13"/>
        <v>-1</v>
      </c>
      <c r="X215" s="231"/>
    </row>
    <row r="216" spans="1:24" hidden="1" x14ac:dyDescent="0.25">
      <c r="A216" s="77" t="s">
        <v>154</v>
      </c>
      <c r="B216" s="163" t="s">
        <v>14</v>
      </c>
      <c r="C216" s="35"/>
      <c r="D216" s="36"/>
      <c r="E216" s="39"/>
      <c r="F216" s="48">
        <f>D216*E216</f>
        <v>0</v>
      </c>
      <c r="G216" s="49">
        <f>F216*C4</f>
        <v>0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 t="shared" si="9"/>
        <v>0</v>
      </c>
      <c r="T216" s="231">
        <f t="shared" si="10"/>
        <v>0</v>
      </c>
      <c r="U216" s="225">
        <f t="shared" si="11"/>
        <v>0</v>
      </c>
      <c r="V216" s="225">
        <f t="shared" si="12"/>
        <v>0</v>
      </c>
      <c r="W216" s="231">
        <f t="shared" si="13"/>
        <v>0</v>
      </c>
      <c r="X216" s="231"/>
    </row>
    <row r="217" spans="1:24" ht="39.6" x14ac:dyDescent="0.25">
      <c r="A217" s="77" t="s">
        <v>155</v>
      </c>
      <c r="B217" s="163" t="s">
        <v>56</v>
      </c>
      <c r="C217" s="296" t="s">
        <v>689</v>
      </c>
      <c r="D217" s="297">
        <v>1</v>
      </c>
      <c r="E217" s="298">
        <v>180</v>
      </c>
      <c r="F217" s="48">
        <f>D217*E217</f>
        <v>180</v>
      </c>
      <c r="G217" s="49">
        <f>F217*C4</f>
        <v>253.79999999999998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 t="shared" si="9"/>
        <v>-180</v>
      </c>
      <c r="T217" s="231">
        <f t="shared" si="10"/>
        <v>-1</v>
      </c>
      <c r="U217" s="225">
        <f t="shared" si="11"/>
        <v>0</v>
      </c>
      <c r="V217" s="225">
        <f t="shared" si="12"/>
        <v>-253.79999999999998</v>
      </c>
      <c r="W217" s="231">
        <f t="shared" si="13"/>
        <v>-1</v>
      </c>
      <c r="X217" s="231"/>
    </row>
    <row r="218" spans="1:24" x14ac:dyDescent="0.25">
      <c r="B218" s="163"/>
      <c r="C218" s="6"/>
      <c r="D218" s="7"/>
      <c r="E218" s="8"/>
      <c r="F218" s="48"/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57"/>
      <c r="S218" s="225"/>
      <c r="T218" s="231"/>
      <c r="U218" s="225"/>
      <c r="V218" s="225"/>
      <c r="W218" s="231"/>
      <c r="X218" s="231"/>
    </row>
    <row r="219" spans="1:24" ht="13.8" thickBot="1" x14ac:dyDescent="0.3">
      <c r="A219" s="99"/>
      <c r="B219" s="146" t="s">
        <v>112</v>
      </c>
      <c r="C219" s="118"/>
      <c r="D219" s="122"/>
      <c r="E219" s="123"/>
      <c r="F219" s="50">
        <f>SUM(F213:F217)</f>
        <v>6030</v>
      </c>
      <c r="G219" s="50">
        <f>SUM(G213:G217)</f>
        <v>8502.2999999999993</v>
      </c>
      <c r="H219" s="244"/>
      <c r="I219" s="244"/>
      <c r="J219" s="244"/>
      <c r="K219" s="244"/>
      <c r="L219" s="244"/>
      <c r="M219" s="244"/>
      <c r="N219" s="244"/>
      <c r="O219" s="244"/>
      <c r="P219" s="244"/>
      <c r="Q219" s="253"/>
      <c r="R219" s="263"/>
      <c r="S219" s="237">
        <f t="shared" si="9"/>
        <v>-6030</v>
      </c>
      <c r="T219" s="238">
        <f t="shared" si="10"/>
        <v>-1</v>
      </c>
      <c r="U219" s="237">
        <f t="shared" si="11"/>
        <v>0</v>
      </c>
      <c r="V219" s="237">
        <f t="shared" si="12"/>
        <v>-8502.2999999999993</v>
      </c>
      <c r="W219" s="238">
        <f t="shared" si="13"/>
        <v>-1</v>
      </c>
      <c r="X219" s="238"/>
    </row>
    <row r="220" spans="1:24" ht="13.8" thickTop="1" x14ac:dyDescent="0.25">
      <c r="B220" s="163"/>
      <c r="F220" s="48"/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57"/>
      <c r="S220" s="225"/>
      <c r="T220" s="231"/>
      <c r="U220" s="225"/>
      <c r="V220" s="225"/>
      <c r="W220" s="231"/>
      <c r="X220" s="231"/>
    </row>
    <row r="221" spans="1:24" x14ac:dyDescent="0.25">
      <c r="A221" s="125">
        <v>6</v>
      </c>
      <c r="B221" s="126" t="s">
        <v>113</v>
      </c>
      <c r="C221" s="130"/>
      <c r="D221" s="129"/>
      <c r="E221" s="131"/>
      <c r="F221" s="131"/>
      <c r="G221" s="147"/>
      <c r="H221" s="241"/>
      <c r="I221" s="241"/>
      <c r="J221" s="241"/>
      <c r="K221" s="241"/>
      <c r="L221" s="241"/>
      <c r="M221" s="241"/>
      <c r="N221" s="241"/>
      <c r="O221" s="241"/>
      <c r="P221" s="241"/>
      <c r="Q221" s="252"/>
      <c r="R221" s="260"/>
      <c r="S221" s="230"/>
      <c r="T221" s="232"/>
      <c r="U221" s="230"/>
      <c r="V221" s="230"/>
      <c r="W221" s="232"/>
      <c r="X221" s="232"/>
    </row>
    <row r="222" spans="1:24" x14ac:dyDescent="0.25">
      <c r="A222" s="99" t="s">
        <v>114</v>
      </c>
      <c r="B222" s="99" t="s">
        <v>71</v>
      </c>
      <c r="C222" s="2"/>
      <c r="D222" s="142"/>
      <c r="E222" s="143"/>
      <c r="F222" s="3"/>
      <c r="G222" s="53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6"/>
      <c r="S222" s="225"/>
      <c r="T222" s="231"/>
      <c r="U222" s="225"/>
      <c r="V222" s="225"/>
      <c r="W222" s="231"/>
      <c r="X222" s="231"/>
    </row>
    <row r="223" spans="1:24" hidden="1" x14ac:dyDescent="0.25">
      <c r="A223" s="109" t="s">
        <v>115</v>
      </c>
      <c r="B223" s="170" t="s">
        <v>72</v>
      </c>
      <c r="C223" s="35"/>
      <c r="D223" s="36"/>
      <c r="E223" s="39"/>
      <c r="F223" s="3">
        <f>D223*E223</f>
        <v>0</v>
      </c>
      <c r="G223" s="53">
        <f>F223*C4</f>
        <v>0</v>
      </c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62"/>
      <c r="S223" s="225">
        <f t="shared" si="9"/>
        <v>0</v>
      </c>
      <c r="T223" s="231">
        <f t="shared" si="10"/>
        <v>0</v>
      </c>
      <c r="U223" s="225">
        <f t="shared" si="11"/>
        <v>0</v>
      </c>
      <c r="V223" s="225">
        <f t="shared" si="12"/>
        <v>0</v>
      </c>
      <c r="W223" s="231">
        <f t="shared" si="13"/>
        <v>0</v>
      </c>
      <c r="X223" s="231"/>
    </row>
    <row r="224" spans="1:24" hidden="1" x14ac:dyDescent="0.25">
      <c r="A224" s="109" t="s">
        <v>116</v>
      </c>
      <c r="B224" s="170" t="s">
        <v>73</v>
      </c>
      <c r="C224" s="35"/>
      <c r="D224" s="36"/>
      <c r="E224" s="39"/>
      <c r="F224" s="3">
        <f>D224*E224</f>
        <v>0</v>
      </c>
      <c r="G224" s="53">
        <f>F224*C4</f>
        <v>0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 t="shared" si="9"/>
        <v>0</v>
      </c>
      <c r="T224" s="231">
        <f t="shared" si="10"/>
        <v>0</v>
      </c>
      <c r="U224" s="225">
        <f t="shared" si="11"/>
        <v>0</v>
      </c>
      <c r="V224" s="225">
        <f t="shared" si="12"/>
        <v>0</v>
      </c>
      <c r="W224" s="231">
        <f t="shared" si="13"/>
        <v>0</v>
      </c>
      <c r="X224" s="231"/>
    </row>
    <row r="225" spans="1:24" x14ac:dyDescent="0.25">
      <c r="A225" s="109" t="s">
        <v>117</v>
      </c>
      <c r="B225" s="170" t="s">
        <v>74</v>
      </c>
      <c r="C225" s="296" t="s">
        <v>515</v>
      </c>
      <c r="D225" s="297">
        <v>1</v>
      </c>
      <c r="E225" s="298">
        <v>2000</v>
      </c>
      <c r="F225" s="3">
        <f>D225*E225</f>
        <v>2000</v>
      </c>
      <c r="G225" s="53">
        <f>F225*C4</f>
        <v>2820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 t="shared" si="9"/>
        <v>-2000</v>
      </c>
      <c r="T225" s="231">
        <f t="shared" si="10"/>
        <v>-1</v>
      </c>
      <c r="U225" s="225">
        <f t="shared" si="11"/>
        <v>0</v>
      </c>
      <c r="V225" s="225">
        <f t="shared" si="12"/>
        <v>-2820</v>
      </c>
      <c r="W225" s="231">
        <f t="shared" si="13"/>
        <v>-1</v>
      </c>
      <c r="X225" s="231"/>
    </row>
    <row r="226" spans="1:24" x14ac:dyDescent="0.25">
      <c r="A226" s="109" t="s">
        <v>118</v>
      </c>
      <c r="B226" s="170" t="s">
        <v>75</v>
      </c>
      <c r="C226" s="296" t="s">
        <v>690</v>
      </c>
      <c r="D226" s="297">
        <v>2</v>
      </c>
      <c r="E226" s="298">
        <v>800</v>
      </c>
      <c r="F226" s="3">
        <f>D226*E226</f>
        <v>1600</v>
      </c>
      <c r="G226" s="53">
        <f>F226*C4</f>
        <v>2256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 t="shared" ref="S226:S267" si="15">R226-F226</f>
        <v>-1600</v>
      </c>
      <c r="T226" s="231">
        <f t="shared" ref="T226:T267" si="16">IF(F226=0,0,S226/F226)</f>
        <v>-1</v>
      </c>
      <c r="U226" s="225">
        <f t="shared" ref="U226:U267" si="17">R226*$C$4</f>
        <v>0</v>
      </c>
      <c r="V226" s="225">
        <f t="shared" ref="V226:V267" si="18">U226-G226</f>
        <v>-2256</v>
      </c>
      <c r="W226" s="231">
        <f t="shared" ref="W226:W267" si="19">IF(G226=0,0,V226/G226)</f>
        <v>-1</v>
      </c>
      <c r="X226" s="231"/>
    </row>
    <row r="227" spans="1:24" x14ac:dyDescent="0.25">
      <c r="A227" s="99"/>
      <c r="B227" s="170"/>
      <c r="C227" s="40"/>
      <c r="D227" s="41"/>
      <c r="E227" s="42"/>
      <c r="F227" s="3"/>
      <c r="G227" s="53"/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56"/>
      <c r="S227" s="225"/>
      <c r="T227" s="231"/>
      <c r="U227" s="225"/>
      <c r="V227" s="225"/>
      <c r="W227" s="231"/>
      <c r="X227" s="231"/>
    </row>
    <row r="228" spans="1:24" ht="13.8" thickBot="1" x14ac:dyDescent="0.3">
      <c r="A228" s="99"/>
      <c r="B228" s="146" t="s">
        <v>76</v>
      </c>
      <c r="C228" s="172"/>
      <c r="D228" s="171"/>
      <c r="E228" s="173"/>
      <c r="F228" s="50">
        <f>SUM(F223:F226)</f>
        <v>3600</v>
      </c>
      <c r="G228" s="50">
        <f>SUM(G223:G226)</f>
        <v>5076</v>
      </c>
      <c r="H228" s="244"/>
      <c r="I228" s="244"/>
      <c r="J228" s="244"/>
      <c r="K228" s="244"/>
      <c r="L228" s="244"/>
      <c r="M228" s="244"/>
      <c r="N228" s="244"/>
      <c r="O228" s="244"/>
      <c r="P228" s="244"/>
      <c r="Q228" s="253"/>
      <c r="R228" s="263"/>
      <c r="S228" s="237">
        <f t="shared" si="15"/>
        <v>-3600</v>
      </c>
      <c r="T228" s="238">
        <f t="shared" si="16"/>
        <v>-1</v>
      </c>
      <c r="U228" s="237">
        <f t="shared" si="17"/>
        <v>0</v>
      </c>
      <c r="V228" s="237">
        <f t="shared" si="18"/>
        <v>-5076</v>
      </c>
      <c r="W228" s="238">
        <f t="shared" si="19"/>
        <v>-1</v>
      </c>
      <c r="X228" s="238"/>
    </row>
    <row r="229" spans="1:24" ht="13.8" thickTop="1" x14ac:dyDescent="0.25">
      <c r="B229" s="174"/>
      <c r="F229" s="175"/>
      <c r="H229" s="242"/>
      <c r="I229" s="242"/>
      <c r="J229" s="242"/>
      <c r="K229" s="242"/>
      <c r="L229" s="242"/>
      <c r="M229" s="242"/>
      <c r="N229" s="242"/>
      <c r="O229" s="242"/>
      <c r="P229" s="242"/>
      <c r="Q229" s="251"/>
      <c r="R229" s="257"/>
      <c r="S229" s="225"/>
      <c r="T229" s="231"/>
      <c r="U229" s="225"/>
      <c r="V229" s="225"/>
      <c r="W229" s="231"/>
      <c r="X229" s="231"/>
    </row>
    <row r="230" spans="1:24" x14ac:dyDescent="0.25">
      <c r="A230" s="99" t="s">
        <v>119</v>
      </c>
      <c r="B230" s="99" t="s">
        <v>193</v>
      </c>
      <c r="C230" s="2"/>
      <c r="D230" s="142"/>
      <c r="E230" s="143"/>
      <c r="F230" s="3"/>
      <c r="G230" s="53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6"/>
      <c r="S230" s="225"/>
      <c r="T230" s="231"/>
      <c r="U230" s="225"/>
      <c r="V230" s="225"/>
      <c r="W230" s="231"/>
      <c r="X230" s="231"/>
    </row>
    <row r="231" spans="1:24" ht="26.4" x14ac:dyDescent="0.25">
      <c r="A231" s="109" t="s">
        <v>120</v>
      </c>
      <c r="B231" s="170" t="s">
        <v>791</v>
      </c>
      <c r="C231" s="297" t="s">
        <v>369</v>
      </c>
      <c r="D231" s="297">
        <v>4</v>
      </c>
      <c r="E231" s="297">
        <v>900</v>
      </c>
      <c r="F231" s="3">
        <f>D231*E231</f>
        <v>3600</v>
      </c>
      <c r="G231" s="53">
        <f>F231*C4</f>
        <v>5076</v>
      </c>
      <c r="H231" s="242"/>
      <c r="I231" s="242"/>
      <c r="J231" s="242"/>
      <c r="K231" s="242"/>
      <c r="L231" s="242"/>
      <c r="M231" s="242"/>
      <c r="N231" s="242"/>
      <c r="O231" s="242"/>
      <c r="P231" s="242"/>
      <c r="Q231" s="251"/>
      <c r="R231" s="262"/>
      <c r="S231" s="225">
        <f t="shared" si="15"/>
        <v>-3600</v>
      </c>
      <c r="T231" s="231">
        <f t="shared" si="16"/>
        <v>-1</v>
      </c>
      <c r="U231" s="225">
        <f t="shared" si="17"/>
        <v>0</v>
      </c>
      <c r="V231" s="225">
        <f t="shared" si="18"/>
        <v>-5076</v>
      </c>
      <c r="W231" s="231">
        <f t="shared" si="19"/>
        <v>-1</v>
      </c>
      <c r="X231" s="231"/>
    </row>
    <row r="232" spans="1:24" hidden="1" x14ac:dyDescent="0.25">
      <c r="A232" s="109" t="s">
        <v>121</v>
      </c>
      <c r="B232" s="170" t="s">
        <v>130</v>
      </c>
      <c r="C232" s="297"/>
      <c r="D232" s="297"/>
      <c r="E232" s="297"/>
      <c r="F232" s="3">
        <f>D232*E232</f>
        <v>0</v>
      </c>
      <c r="G232" s="53">
        <f>F232*C4</f>
        <v>0</v>
      </c>
      <c r="H232" s="242"/>
      <c r="I232" s="242"/>
      <c r="J232" s="242"/>
      <c r="K232" s="242"/>
      <c r="L232" s="242"/>
      <c r="M232" s="242"/>
      <c r="N232" s="242"/>
      <c r="O232" s="242"/>
      <c r="P232" s="242"/>
      <c r="Q232" s="251"/>
      <c r="R232" s="262"/>
      <c r="S232" s="225">
        <f t="shared" si="15"/>
        <v>0</v>
      </c>
      <c r="T232" s="231">
        <f t="shared" si="16"/>
        <v>0</v>
      </c>
      <c r="U232" s="225">
        <f t="shared" si="17"/>
        <v>0</v>
      </c>
      <c r="V232" s="225">
        <f t="shared" si="18"/>
        <v>0</v>
      </c>
      <c r="W232" s="231">
        <f t="shared" si="19"/>
        <v>0</v>
      </c>
      <c r="X232" s="231"/>
    </row>
    <row r="233" spans="1:24" hidden="1" x14ac:dyDescent="0.25">
      <c r="A233" s="109" t="s">
        <v>122</v>
      </c>
      <c r="B233" s="170" t="s">
        <v>128</v>
      </c>
      <c r="C233" s="297"/>
      <c r="D233" s="297"/>
      <c r="E233" s="297"/>
      <c r="F233" s="3">
        <f>D233*E233</f>
        <v>0</v>
      </c>
      <c r="G233" s="53">
        <f>F233*C4</f>
        <v>0</v>
      </c>
      <c r="H233" s="242"/>
      <c r="I233" s="242"/>
      <c r="J233" s="242"/>
      <c r="K233" s="242"/>
      <c r="L233" s="242"/>
      <c r="M233" s="242"/>
      <c r="N233" s="242"/>
      <c r="O233" s="242"/>
      <c r="P233" s="242"/>
      <c r="Q233" s="251"/>
      <c r="R233" s="262"/>
      <c r="S233" s="225">
        <f t="shared" si="15"/>
        <v>0</v>
      </c>
      <c r="T233" s="231">
        <f t="shared" si="16"/>
        <v>0</v>
      </c>
      <c r="U233" s="225">
        <f t="shared" si="17"/>
        <v>0</v>
      </c>
      <c r="V233" s="225">
        <f t="shared" si="18"/>
        <v>0</v>
      </c>
      <c r="W233" s="231">
        <f t="shared" si="19"/>
        <v>0</v>
      </c>
      <c r="X233" s="231"/>
    </row>
    <row r="234" spans="1:24" ht="26.4" x14ac:dyDescent="0.25">
      <c r="A234" s="109" t="s">
        <v>123</v>
      </c>
      <c r="B234" s="170" t="s">
        <v>792</v>
      </c>
      <c r="C234" s="297" t="s">
        <v>691</v>
      </c>
      <c r="D234" s="297">
        <v>2</v>
      </c>
      <c r="E234" s="297">
        <v>900</v>
      </c>
      <c r="F234" s="3">
        <f>D234*E234</f>
        <v>1800</v>
      </c>
      <c r="G234" s="53">
        <f>F234*C4</f>
        <v>2538</v>
      </c>
      <c r="H234" s="242"/>
      <c r="I234" s="242"/>
      <c r="J234" s="242"/>
      <c r="K234" s="242"/>
      <c r="L234" s="242"/>
      <c r="M234" s="242"/>
      <c r="N234" s="242"/>
      <c r="O234" s="242"/>
      <c r="P234" s="242"/>
      <c r="Q234" s="251"/>
      <c r="R234" s="262"/>
      <c r="S234" s="225">
        <f t="shared" si="15"/>
        <v>-1800</v>
      </c>
      <c r="T234" s="231">
        <f t="shared" si="16"/>
        <v>-1</v>
      </c>
      <c r="U234" s="225">
        <f t="shared" si="17"/>
        <v>0</v>
      </c>
      <c r="V234" s="225">
        <f t="shared" si="18"/>
        <v>-2538</v>
      </c>
      <c r="W234" s="231">
        <f t="shared" si="19"/>
        <v>-1</v>
      </c>
      <c r="X234" s="231"/>
    </row>
    <row r="235" spans="1:24" x14ac:dyDescent="0.25">
      <c r="A235" s="109" t="s">
        <v>793</v>
      </c>
      <c r="B235" s="170" t="s">
        <v>794</v>
      </c>
      <c r="C235" s="297" t="s">
        <v>691</v>
      </c>
      <c r="D235" s="297">
        <v>1</v>
      </c>
      <c r="E235" s="297">
        <v>5000</v>
      </c>
      <c r="F235" s="3">
        <f>D235*E235</f>
        <v>5000</v>
      </c>
      <c r="G235" s="53">
        <f>F235*$C$4</f>
        <v>7050</v>
      </c>
      <c r="H235" s="242"/>
      <c r="I235" s="242"/>
      <c r="J235" s="242"/>
      <c r="K235" s="242"/>
      <c r="L235" s="242"/>
      <c r="M235" s="242"/>
      <c r="N235" s="242"/>
      <c r="O235" s="242"/>
      <c r="P235" s="242"/>
      <c r="Q235" s="251"/>
      <c r="R235" s="262"/>
      <c r="S235" s="225"/>
      <c r="T235" s="231"/>
      <c r="U235" s="225"/>
      <c r="V235" s="225"/>
      <c r="W235" s="231"/>
      <c r="X235" s="231"/>
    </row>
    <row r="236" spans="1:24" x14ac:dyDescent="0.25">
      <c r="A236" s="109"/>
      <c r="B236" s="170"/>
      <c r="C236" s="73"/>
      <c r="D236" s="73"/>
      <c r="F236" s="3"/>
      <c r="G236" s="53"/>
      <c r="H236" s="242"/>
      <c r="I236" s="242"/>
      <c r="J236" s="242"/>
      <c r="K236" s="242"/>
      <c r="L236" s="242"/>
      <c r="M236" s="242"/>
      <c r="N236" s="242"/>
      <c r="O236" s="242"/>
      <c r="P236" s="242"/>
      <c r="Q236" s="251"/>
      <c r="R236" s="256"/>
      <c r="S236" s="225"/>
      <c r="T236" s="231"/>
      <c r="U236" s="225"/>
      <c r="V236" s="225"/>
      <c r="W236" s="231"/>
      <c r="X236" s="231"/>
    </row>
    <row r="237" spans="1:24" ht="13.8" thickBot="1" x14ac:dyDescent="0.3">
      <c r="A237" s="99"/>
      <c r="B237" s="146" t="s">
        <v>194</v>
      </c>
      <c r="C237" s="73"/>
      <c r="D237" s="73"/>
      <c r="F237" s="50">
        <f>SUM(F231:F235)</f>
        <v>10400</v>
      </c>
      <c r="G237" s="50">
        <f>SUM(G231:G235)</f>
        <v>14664</v>
      </c>
      <c r="H237" s="244"/>
      <c r="I237" s="244"/>
      <c r="J237" s="244"/>
      <c r="K237" s="244"/>
      <c r="L237" s="244"/>
      <c r="M237" s="244"/>
      <c r="N237" s="244"/>
      <c r="O237" s="244"/>
      <c r="P237" s="244"/>
      <c r="Q237" s="253"/>
      <c r="R237" s="263"/>
      <c r="S237" s="237">
        <f t="shared" si="15"/>
        <v>-10400</v>
      </c>
      <c r="T237" s="238">
        <f t="shared" si="16"/>
        <v>-1</v>
      </c>
      <c r="U237" s="237">
        <f t="shared" si="17"/>
        <v>0</v>
      </c>
      <c r="V237" s="237">
        <f t="shared" si="18"/>
        <v>-14664</v>
      </c>
      <c r="W237" s="238">
        <f t="shared" si="19"/>
        <v>-1</v>
      </c>
      <c r="X237" s="238"/>
    </row>
    <row r="238" spans="1:24" ht="13.8" thickTop="1" x14ac:dyDescent="0.25">
      <c r="B238" s="174"/>
      <c r="F238" s="175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7"/>
      <c r="S238" s="225"/>
      <c r="T238" s="231"/>
      <c r="U238" s="225"/>
      <c r="V238" s="225"/>
      <c r="W238" s="231"/>
      <c r="X238" s="231"/>
    </row>
    <row r="239" spans="1:24" x14ac:dyDescent="0.25">
      <c r="A239" s="99" t="s">
        <v>157</v>
      </c>
      <c r="B239" s="99" t="s">
        <v>156</v>
      </c>
      <c r="C239" s="2"/>
      <c r="D239" s="142"/>
      <c r="E239" s="143"/>
      <c r="F239" s="3"/>
      <c r="G239" s="53"/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56"/>
      <c r="S239" s="225"/>
      <c r="T239" s="231"/>
      <c r="U239" s="225"/>
      <c r="V239" s="225"/>
      <c r="W239" s="231"/>
      <c r="X239" s="231"/>
    </row>
    <row r="240" spans="1:24" x14ac:dyDescent="0.25">
      <c r="A240" s="109" t="s">
        <v>162</v>
      </c>
      <c r="B240" s="170" t="s">
        <v>294</v>
      </c>
      <c r="C240" s="296" t="s">
        <v>692</v>
      </c>
      <c r="D240" s="297">
        <v>1</v>
      </c>
      <c r="E240" s="298">
        <v>6000</v>
      </c>
      <c r="F240" s="3">
        <f>D240*E240</f>
        <v>6000</v>
      </c>
      <c r="G240" s="53">
        <f>F240*C4</f>
        <v>8460</v>
      </c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62"/>
      <c r="S240" s="225">
        <f t="shared" si="15"/>
        <v>-6000</v>
      </c>
      <c r="T240" s="231">
        <f t="shared" si="16"/>
        <v>-1</v>
      </c>
      <c r="U240" s="225">
        <f t="shared" si="17"/>
        <v>0</v>
      </c>
      <c r="V240" s="225">
        <f t="shared" si="18"/>
        <v>-8460</v>
      </c>
      <c r="W240" s="231">
        <f t="shared" si="19"/>
        <v>-1</v>
      </c>
      <c r="X240" s="231"/>
    </row>
    <row r="241" spans="1:24" hidden="1" x14ac:dyDescent="0.25">
      <c r="A241" s="109" t="s">
        <v>163</v>
      </c>
      <c r="B241" s="170" t="s">
        <v>159</v>
      </c>
      <c r="C241" s="35"/>
      <c r="D241" s="36"/>
      <c r="E241" s="39"/>
      <c r="F241" s="3">
        <f>D241*E241</f>
        <v>0</v>
      </c>
      <c r="G241" s="53">
        <f>F241*C4</f>
        <v>0</v>
      </c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62"/>
      <c r="S241" s="225">
        <f t="shared" si="15"/>
        <v>0</v>
      </c>
      <c r="T241" s="231">
        <f t="shared" si="16"/>
        <v>0</v>
      </c>
      <c r="U241" s="225">
        <f t="shared" si="17"/>
        <v>0</v>
      </c>
      <c r="V241" s="225">
        <f t="shared" si="18"/>
        <v>0</v>
      </c>
      <c r="W241" s="231">
        <f t="shared" si="19"/>
        <v>0</v>
      </c>
      <c r="X241" s="231"/>
    </row>
    <row r="242" spans="1:24" hidden="1" x14ac:dyDescent="0.25">
      <c r="A242" s="109" t="s">
        <v>164</v>
      </c>
      <c r="B242" s="170" t="s">
        <v>160</v>
      </c>
      <c r="C242" s="35"/>
      <c r="D242" s="36"/>
      <c r="E242" s="39"/>
      <c r="F242" s="3">
        <f>D242*E242</f>
        <v>0</v>
      </c>
      <c r="G242" s="53">
        <f>F242*C4</f>
        <v>0</v>
      </c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62"/>
      <c r="S242" s="225">
        <f t="shared" si="15"/>
        <v>0</v>
      </c>
      <c r="T242" s="231">
        <f t="shared" si="16"/>
        <v>0</v>
      </c>
      <c r="U242" s="225">
        <f t="shared" si="17"/>
        <v>0</v>
      </c>
      <c r="V242" s="225">
        <f t="shared" si="18"/>
        <v>0</v>
      </c>
      <c r="W242" s="231">
        <f t="shared" si="19"/>
        <v>0</v>
      </c>
      <c r="X242" s="231"/>
    </row>
    <row r="243" spans="1:24" x14ac:dyDescent="0.25">
      <c r="A243" s="99"/>
      <c r="B243" s="170"/>
      <c r="C243" s="40"/>
      <c r="D243" s="41"/>
      <c r="E243" s="42"/>
      <c r="F243" s="3"/>
      <c r="G243" s="53"/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56"/>
      <c r="S243" s="237"/>
      <c r="T243" s="238"/>
      <c r="U243" s="237"/>
      <c r="V243" s="237"/>
      <c r="W243" s="238"/>
      <c r="X243" s="238"/>
    </row>
    <row r="244" spans="1:24" ht="13.8" thickBot="1" x14ac:dyDescent="0.3">
      <c r="A244" s="99"/>
      <c r="B244" s="146" t="s">
        <v>161</v>
      </c>
      <c r="C244" s="172"/>
      <c r="D244" s="171"/>
      <c r="E244" s="173"/>
      <c r="F244" s="50">
        <f>SUM(F240:F242)</f>
        <v>6000</v>
      </c>
      <c r="G244" s="50">
        <f>SUM(G240:G242)</f>
        <v>8460</v>
      </c>
      <c r="H244" s="244"/>
      <c r="I244" s="244"/>
      <c r="J244" s="244"/>
      <c r="K244" s="244"/>
      <c r="L244" s="244"/>
      <c r="M244" s="244"/>
      <c r="N244" s="244"/>
      <c r="O244" s="244"/>
      <c r="P244" s="244"/>
      <c r="Q244" s="253"/>
      <c r="R244" s="263"/>
      <c r="S244" s="237">
        <f t="shared" si="15"/>
        <v>-6000</v>
      </c>
      <c r="T244" s="238">
        <f t="shared" si="16"/>
        <v>-1</v>
      </c>
      <c r="U244" s="237">
        <f t="shared" si="17"/>
        <v>0</v>
      </c>
      <c r="V244" s="237">
        <f t="shared" si="18"/>
        <v>-8460</v>
      </c>
      <c r="W244" s="238">
        <f t="shared" si="19"/>
        <v>-1</v>
      </c>
      <c r="X244" s="238"/>
    </row>
    <row r="245" spans="1:24" ht="13.8" thickTop="1" x14ac:dyDescent="0.25">
      <c r="A245" s="99"/>
      <c r="B245" s="146"/>
      <c r="C245" s="172"/>
      <c r="D245" s="171"/>
      <c r="E245" s="173"/>
      <c r="F245" s="169"/>
      <c r="G245" s="169"/>
      <c r="H245" s="244"/>
      <c r="I245" s="244"/>
      <c r="J245" s="244"/>
      <c r="K245" s="244"/>
      <c r="L245" s="244"/>
      <c r="M245" s="244"/>
      <c r="N245" s="244"/>
      <c r="O245" s="244"/>
      <c r="P245" s="244"/>
      <c r="Q245" s="253"/>
      <c r="R245" s="263"/>
      <c r="S245" s="237"/>
      <c r="T245" s="238"/>
      <c r="U245" s="237"/>
      <c r="V245" s="237"/>
      <c r="W245" s="238"/>
      <c r="X245" s="238"/>
    </row>
    <row r="246" spans="1:24" x14ac:dyDescent="0.25">
      <c r="A246" s="99" t="s">
        <v>310</v>
      </c>
      <c r="B246" s="146" t="s">
        <v>313</v>
      </c>
      <c r="C246" s="172"/>
      <c r="D246" s="171"/>
      <c r="E246" s="173"/>
      <c r="F246" s="169"/>
      <c r="G246" s="169"/>
      <c r="H246" s="244"/>
      <c r="I246" s="244"/>
      <c r="J246" s="244"/>
      <c r="K246" s="244"/>
      <c r="L246" s="244"/>
      <c r="M246" s="244"/>
      <c r="N246" s="244"/>
      <c r="O246" s="244"/>
      <c r="P246" s="244"/>
      <c r="Q246" s="253"/>
      <c r="R246" s="263"/>
      <c r="S246" s="237"/>
      <c r="T246" s="238"/>
      <c r="U246" s="237"/>
      <c r="V246" s="237"/>
      <c r="W246" s="238"/>
      <c r="X246" s="238"/>
    </row>
    <row r="247" spans="1:24" x14ac:dyDescent="0.25">
      <c r="A247" s="109" t="s">
        <v>315</v>
      </c>
      <c r="B247" s="157" t="s">
        <v>314</v>
      </c>
      <c r="C247" s="172"/>
      <c r="D247" s="171"/>
      <c r="E247" s="173">
        <f ca="1">F270/1.03*3%</f>
        <v>22408.195886808509</v>
      </c>
      <c r="F247" s="169">
        <f ca="1">E247</f>
        <v>22408.195886808509</v>
      </c>
      <c r="G247" s="169">
        <f ca="1">F247*C4</f>
        <v>31595.556200399995</v>
      </c>
      <c r="H247" s="244"/>
      <c r="I247" s="244"/>
      <c r="J247" s="244"/>
      <c r="K247" s="244"/>
      <c r="L247" s="244"/>
      <c r="M247" s="244"/>
      <c r="N247" s="244"/>
      <c r="O247" s="244"/>
      <c r="P247" s="244"/>
      <c r="Q247" s="253"/>
      <c r="R247" s="263" t="e">
        <f>#REF!/1.03*3%</f>
        <v>#REF!</v>
      </c>
      <c r="S247" s="237"/>
      <c r="T247" s="238"/>
      <c r="U247" s="237" t="e">
        <f>R247*C4</f>
        <v>#REF!</v>
      </c>
      <c r="V247" s="237"/>
      <c r="W247" s="238"/>
      <c r="X247" s="238"/>
    </row>
    <row r="248" spans="1:24" x14ac:dyDescent="0.25">
      <c r="A248" s="109"/>
      <c r="B248" s="157"/>
      <c r="C248" s="172"/>
      <c r="D248" s="171"/>
      <c r="E248" s="173"/>
      <c r="F248" s="169"/>
      <c r="G248" s="169"/>
      <c r="H248" s="244"/>
      <c r="I248" s="244"/>
      <c r="J248" s="244"/>
      <c r="K248" s="244"/>
      <c r="L248" s="244"/>
      <c r="M248" s="244"/>
      <c r="N248" s="244"/>
      <c r="O248" s="244"/>
      <c r="P248" s="244"/>
      <c r="Q248" s="253"/>
      <c r="R248" s="263"/>
      <c r="S248" s="237"/>
      <c r="T248" s="238"/>
      <c r="U248" s="237"/>
      <c r="V248" s="237"/>
      <c r="W248" s="238"/>
      <c r="X248" s="238"/>
    </row>
    <row r="249" spans="1:24" ht="13.8" thickBot="1" x14ac:dyDescent="0.3">
      <c r="A249" s="99"/>
      <c r="B249" s="146" t="s">
        <v>316</v>
      </c>
      <c r="C249" s="172"/>
      <c r="D249" s="171"/>
      <c r="E249" s="173"/>
      <c r="F249" s="50">
        <f ca="1">F247</f>
        <v>22408.195886808509</v>
      </c>
      <c r="G249" s="50">
        <f ca="1">G247</f>
        <v>31595.556200399995</v>
      </c>
      <c r="H249" s="267"/>
      <c r="I249" s="244"/>
      <c r="J249" s="244"/>
      <c r="K249" s="244"/>
      <c r="L249" s="244"/>
      <c r="M249" s="244"/>
      <c r="N249" s="244"/>
      <c r="O249" s="244"/>
      <c r="P249" s="244"/>
      <c r="Q249" s="253"/>
      <c r="R249" s="263"/>
      <c r="S249" s="237"/>
      <c r="T249" s="238"/>
      <c r="U249" s="237"/>
      <c r="V249" s="237"/>
      <c r="W249" s="238"/>
      <c r="X249" s="238"/>
    </row>
    <row r="250" spans="1:24" ht="13.8" thickTop="1" x14ac:dyDescent="0.25">
      <c r="A250" s="99"/>
      <c r="B250" s="146"/>
      <c r="C250" s="118"/>
      <c r="D250" s="122"/>
      <c r="E250" s="123"/>
      <c r="F250" s="169"/>
      <c r="G250" s="169"/>
      <c r="H250" s="244"/>
      <c r="I250" s="244"/>
      <c r="J250" s="244"/>
      <c r="K250" s="244"/>
      <c r="L250" s="244"/>
      <c r="M250" s="244"/>
      <c r="N250" s="244"/>
      <c r="O250" s="244"/>
      <c r="P250" s="244"/>
      <c r="Q250" s="253"/>
      <c r="R250" s="259"/>
      <c r="S250" s="225"/>
      <c r="T250" s="231"/>
      <c r="U250" s="225"/>
      <c r="V250" s="225"/>
      <c r="W250" s="231"/>
      <c r="X250" s="231"/>
    </row>
    <row r="251" spans="1:24" ht="13.8" thickBot="1" x14ac:dyDescent="0.3">
      <c r="A251" s="176"/>
      <c r="B251" s="177" t="s">
        <v>49</v>
      </c>
      <c r="C251" s="179"/>
      <c r="D251" s="178"/>
      <c r="E251" s="180"/>
      <c r="F251" s="54">
        <f ca="1">SUM(F103+F178+F191+F210+F219+F228+F237+F244+F249)</f>
        <v>660268.05878042558</v>
      </c>
      <c r="G251" s="54">
        <f ca="1">F251*C4</f>
        <v>930977.96288040001</v>
      </c>
      <c r="H251" s="244"/>
      <c r="I251" s="244"/>
      <c r="J251" s="244"/>
      <c r="K251" s="244"/>
      <c r="L251" s="244"/>
      <c r="M251" s="244"/>
      <c r="N251" s="244"/>
      <c r="O251" s="244"/>
      <c r="P251" s="244"/>
      <c r="Q251" s="253"/>
      <c r="R251" s="263"/>
      <c r="S251" s="226">
        <f t="shared" ca="1" si="15"/>
        <v>-660268.05878042558</v>
      </c>
      <c r="T251" s="236">
        <f t="shared" ca="1" si="16"/>
        <v>-1</v>
      </c>
      <c r="U251" s="226">
        <f t="shared" si="17"/>
        <v>0</v>
      </c>
      <c r="V251" s="226">
        <f t="shared" ca="1" si="18"/>
        <v>-930977.96288040001</v>
      </c>
      <c r="W251" s="236">
        <f t="shared" ca="1" si="19"/>
        <v>-1</v>
      </c>
      <c r="X251" s="268"/>
    </row>
    <row r="252" spans="1:24" ht="13.8" thickTop="1" x14ac:dyDescent="0.25">
      <c r="B252" s="87"/>
      <c r="F252" s="48"/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57"/>
      <c r="S252" s="225"/>
      <c r="T252" s="231"/>
      <c r="U252" s="225"/>
      <c r="V252" s="225"/>
      <c r="W252" s="231"/>
      <c r="X252" s="231"/>
    </row>
    <row r="253" spans="1:24" x14ac:dyDescent="0.25">
      <c r="A253" s="70" t="s">
        <v>57</v>
      </c>
      <c r="F253" s="48"/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57"/>
      <c r="S253" s="225"/>
      <c r="T253" s="231"/>
      <c r="U253" s="225"/>
      <c r="V253" s="225"/>
      <c r="W253" s="231"/>
      <c r="X253" s="231"/>
    </row>
    <row r="254" spans="1:24" x14ac:dyDescent="0.25">
      <c r="A254" s="70" t="s">
        <v>18</v>
      </c>
      <c r="B254" s="181" t="s">
        <v>9</v>
      </c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4" x14ac:dyDescent="0.25">
      <c r="B255" s="137" t="s">
        <v>826</v>
      </c>
      <c r="C255" s="296" t="s">
        <v>639</v>
      </c>
      <c r="D255" s="297">
        <v>12</v>
      </c>
      <c r="E255" s="298">
        <v>916</v>
      </c>
      <c r="F255" s="48">
        <f>D255*E255</f>
        <v>10992</v>
      </c>
      <c r="G255" s="49">
        <f>F255*C4</f>
        <v>15498.72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>
        <f t="shared" si="15"/>
        <v>-10992</v>
      </c>
      <c r="T255" s="231">
        <f t="shared" si="16"/>
        <v>-1</v>
      </c>
      <c r="U255" s="225">
        <f t="shared" si="17"/>
        <v>0</v>
      </c>
      <c r="V255" s="225">
        <f t="shared" si="18"/>
        <v>-15498.72</v>
      </c>
      <c r="W255" s="231">
        <f t="shared" si="19"/>
        <v>-1</v>
      </c>
      <c r="X255" s="231"/>
    </row>
    <row r="256" spans="1:24" x14ac:dyDescent="0.25">
      <c r="B256" s="137" t="s">
        <v>827</v>
      </c>
      <c r="C256" s="296" t="s">
        <v>639</v>
      </c>
      <c r="D256" s="297">
        <v>12</v>
      </c>
      <c r="E256" s="298">
        <v>684</v>
      </c>
      <c r="F256" s="48">
        <f>D256*E256</f>
        <v>8208</v>
      </c>
      <c r="G256" s="49">
        <f>F256*C4</f>
        <v>11573.279999999999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>
        <f t="shared" si="15"/>
        <v>-8208</v>
      </c>
      <c r="T256" s="231">
        <f t="shared" si="16"/>
        <v>-1</v>
      </c>
      <c r="U256" s="225">
        <f t="shared" si="17"/>
        <v>0</v>
      </c>
      <c r="V256" s="225">
        <f t="shared" si="18"/>
        <v>-11573.279999999999</v>
      </c>
      <c r="W256" s="231">
        <f t="shared" si="19"/>
        <v>-1</v>
      </c>
      <c r="X256" s="231"/>
    </row>
    <row r="257" spans="1:25" ht="26.4" x14ac:dyDescent="0.25">
      <c r="B257" s="308" t="s">
        <v>59</v>
      </c>
      <c r="C257" s="296" t="s">
        <v>639</v>
      </c>
      <c r="D257" s="297">
        <v>12</v>
      </c>
      <c r="E257" s="298">
        <v>4000</v>
      </c>
      <c r="F257" s="48">
        <f>D257*E257</f>
        <v>48000</v>
      </c>
      <c r="G257" s="49">
        <f>F257*C4</f>
        <v>67680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62"/>
      <c r="S257" s="225">
        <f t="shared" si="15"/>
        <v>-48000</v>
      </c>
      <c r="T257" s="231">
        <f t="shared" si="16"/>
        <v>-1</v>
      </c>
      <c r="U257" s="225">
        <f t="shared" si="17"/>
        <v>0</v>
      </c>
      <c r="V257" s="225">
        <f t="shared" si="18"/>
        <v>-67680</v>
      </c>
      <c r="W257" s="231">
        <f t="shared" si="19"/>
        <v>-1</v>
      </c>
      <c r="X257" s="231"/>
    </row>
    <row r="258" spans="1:25" x14ac:dyDescent="0.25">
      <c r="B258" s="182" t="s">
        <v>35</v>
      </c>
      <c r="C258" s="6"/>
      <c r="D258" s="7"/>
      <c r="E258" s="8"/>
      <c r="F258" s="48"/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57"/>
      <c r="S258" s="225"/>
      <c r="T258" s="231"/>
      <c r="U258" s="225"/>
      <c r="V258" s="225"/>
      <c r="W258" s="231"/>
      <c r="X258" s="231"/>
    </row>
    <row r="259" spans="1:25" x14ac:dyDescent="0.25">
      <c r="B259" s="137" t="s">
        <v>36</v>
      </c>
      <c r="C259" s="296" t="s">
        <v>688</v>
      </c>
      <c r="D259" s="297">
        <v>12</v>
      </c>
      <c r="E259" s="298">
        <v>1400</v>
      </c>
      <c r="F259" s="48">
        <f>D259*E259</f>
        <v>16800</v>
      </c>
      <c r="G259" s="49">
        <f>F259*C4</f>
        <v>23688</v>
      </c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62"/>
      <c r="S259" s="225">
        <f t="shared" si="15"/>
        <v>-16800</v>
      </c>
      <c r="T259" s="231">
        <f t="shared" si="16"/>
        <v>-1</v>
      </c>
      <c r="U259" s="225">
        <f t="shared" si="17"/>
        <v>0</v>
      </c>
      <c r="V259" s="225">
        <f t="shared" si="18"/>
        <v>-23688</v>
      </c>
      <c r="W259" s="231">
        <f t="shared" si="19"/>
        <v>-1</v>
      </c>
      <c r="X259" s="231"/>
    </row>
    <row r="260" spans="1:25" x14ac:dyDescent="0.25">
      <c r="B260" s="137" t="s">
        <v>37</v>
      </c>
      <c r="C260" s="296" t="s">
        <v>688</v>
      </c>
      <c r="D260" s="297">
        <v>12</v>
      </c>
      <c r="E260" s="298">
        <v>400</v>
      </c>
      <c r="F260" s="48">
        <f>D260*E260</f>
        <v>4800</v>
      </c>
      <c r="G260" s="49">
        <f>F260*C4</f>
        <v>6768</v>
      </c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62"/>
      <c r="S260" s="225">
        <f t="shared" si="15"/>
        <v>-4800</v>
      </c>
      <c r="T260" s="231">
        <f t="shared" si="16"/>
        <v>-1</v>
      </c>
      <c r="U260" s="225">
        <f t="shared" si="17"/>
        <v>0</v>
      </c>
      <c r="V260" s="225">
        <f t="shared" si="18"/>
        <v>-6768</v>
      </c>
      <c r="W260" s="231">
        <f t="shared" si="19"/>
        <v>-1</v>
      </c>
      <c r="X260" s="231"/>
    </row>
    <row r="261" spans="1:25" x14ac:dyDescent="0.25">
      <c r="B261" s="137" t="s">
        <v>38</v>
      </c>
      <c r="C261" s="296" t="s">
        <v>688</v>
      </c>
      <c r="D261" s="297">
        <v>12</v>
      </c>
      <c r="E261" s="298">
        <v>400</v>
      </c>
      <c r="F261" s="48">
        <f>D261*E261</f>
        <v>4800</v>
      </c>
      <c r="G261" s="49">
        <f>F261*C4</f>
        <v>6768</v>
      </c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62"/>
      <c r="S261" s="225">
        <f t="shared" si="15"/>
        <v>-4800</v>
      </c>
      <c r="T261" s="231">
        <f t="shared" si="16"/>
        <v>-1</v>
      </c>
      <c r="U261" s="225">
        <f t="shared" si="17"/>
        <v>0</v>
      </c>
      <c r="V261" s="225">
        <f t="shared" si="18"/>
        <v>-6768</v>
      </c>
      <c r="W261" s="231">
        <f t="shared" si="19"/>
        <v>-1</v>
      </c>
      <c r="X261" s="231"/>
    </row>
    <row r="262" spans="1:25" x14ac:dyDescent="0.25">
      <c r="B262" s="182" t="s">
        <v>39</v>
      </c>
      <c r="C262" s="6"/>
      <c r="D262" s="7"/>
      <c r="E262" s="8"/>
      <c r="F262" s="48"/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57"/>
      <c r="S262" s="225"/>
      <c r="T262" s="231"/>
      <c r="U262" s="225"/>
      <c r="V262" s="225"/>
      <c r="W262" s="231"/>
      <c r="X262" s="231"/>
    </row>
    <row r="263" spans="1:25" x14ac:dyDescent="0.25">
      <c r="B263" s="137" t="s">
        <v>40</v>
      </c>
      <c r="C263" s="296" t="s">
        <v>688</v>
      </c>
      <c r="D263" s="297">
        <v>12</v>
      </c>
      <c r="E263" s="298">
        <v>1000</v>
      </c>
      <c r="F263" s="48">
        <f>D263*E263</f>
        <v>12000</v>
      </c>
      <c r="G263" s="49">
        <f>F263*C4</f>
        <v>16920</v>
      </c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62"/>
      <c r="S263" s="225">
        <f t="shared" si="15"/>
        <v>-12000</v>
      </c>
      <c r="T263" s="231">
        <f t="shared" si="16"/>
        <v>-1</v>
      </c>
      <c r="U263" s="225">
        <f t="shared" si="17"/>
        <v>0</v>
      </c>
      <c r="V263" s="225">
        <f t="shared" si="18"/>
        <v>-16920</v>
      </c>
      <c r="W263" s="231">
        <f t="shared" si="19"/>
        <v>-1</v>
      </c>
      <c r="X263" s="231"/>
    </row>
    <row r="264" spans="1:25" x14ac:dyDescent="0.25">
      <c r="B264" s="182" t="s">
        <v>41</v>
      </c>
      <c r="C264" s="5"/>
      <c r="D264" s="5"/>
      <c r="E264" s="5"/>
      <c r="F264" s="168"/>
      <c r="H264" s="242"/>
      <c r="I264" s="242"/>
      <c r="J264" s="242"/>
      <c r="K264" s="242"/>
      <c r="L264" s="242"/>
      <c r="M264" s="242"/>
      <c r="N264" s="242"/>
      <c r="O264" s="242"/>
      <c r="P264" s="242"/>
      <c r="Q264" s="251"/>
      <c r="R264" s="257"/>
      <c r="S264" s="225"/>
      <c r="T264" s="231"/>
      <c r="U264" s="225"/>
      <c r="V264" s="225"/>
      <c r="W264" s="231"/>
      <c r="X264" s="231"/>
    </row>
    <row r="265" spans="1:25" x14ac:dyDescent="0.25">
      <c r="B265" s="137" t="s">
        <v>42</v>
      </c>
      <c r="C265" s="296" t="s">
        <v>688</v>
      </c>
      <c r="D265" s="297">
        <v>12</v>
      </c>
      <c r="E265" s="298">
        <v>290</v>
      </c>
      <c r="F265" s="48">
        <f>D265*E265</f>
        <v>3480</v>
      </c>
      <c r="G265" s="49">
        <f>F265*C4</f>
        <v>4906.7999999999993</v>
      </c>
      <c r="H265" s="242"/>
      <c r="I265" s="242"/>
      <c r="J265" s="242"/>
      <c r="K265" s="242"/>
      <c r="L265" s="242"/>
      <c r="M265" s="242"/>
      <c r="N265" s="242"/>
      <c r="O265" s="242"/>
      <c r="P265" s="242"/>
      <c r="Q265" s="251"/>
      <c r="R265" s="262"/>
      <c r="S265" s="225">
        <f t="shared" si="15"/>
        <v>-3480</v>
      </c>
      <c r="T265" s="231">
        <f t="shared" si="16"/>
        <v>-1</v>
      </c>
      <c r="U265" s="225">
        <f t="shared" si="17"/>
        <v>0</v>
      </c>
      <c r="V265" s="225">
        <f t="shared" si="18"/>
        <v>-4906.7999999999993</v>
      </c>
      <c r="W265" s="231">
        <f t="shared" si="19"/>
        <v>-1</v>
      </c>
      <c r="X265" s="231"/>
    </row>
    <row r="266" spans="1:25" x14ac:dyDescent="0.25">
      <c r="B266" s="149"/>
      <c r="C266" s="6"/>
      <c r="D266" s="7"/>
      <c r="E266" s="8"/>
      <c r="F266" s="48"/>
      <c r="H266" s="242"/>
      <c r="I266" s="242"/>
      <c r="J266" s="242"/>
      <c r="K266" s="242"/>
      <c r="L266" s="242"/>
      <c r="M266" s="242"/>
      <c r="N266" s="242"/>
      <c r="O266" s="242"/>
      <c r="P266" s="242"/>
      <c r="Q266" s="251"/>
      <c r="R266" s="257"/>
      <c r="S266" s="225"/>
      <c r="T266" s="231"/>
      <c r="U266" s="225"/>
      <c r="V266" s="225"/>
      <c r="W266" s="231"/>
      <c r="X266" s="231"/>
    </row>
    <row r="267" spans="1:25" x14ac:dyDescent="0.25">
      <c r="A267" s="177"/>
      <c r="B267" s="177" t="s">
        <v>58</v>
      </c>
      <c r="C267" s="179"/>
      <c r="D267" s="178"/>
      <c r="E267" s="180"/>
      <c r="F267" s="263">
        <f>SUM(F255+F256+F257+F259+F260+F261+F263+F265)</f>
        <v>109080</v>
      </c>
      <c r="G267" s="319">
        <f>SUM(G255+G256+G257+G259+G260+G261+G263+G265)</f>
        <v>153802.79999999999</v>
      </c>
      <c r="H267" s="246"/>
      <c r="I267" s="246"/>
      <c r="J267" s="246"/>
      <c r="K267" s="246"/>
      <c r="L267" s="246"/>
      <c r="M267" s="246"/>
      <c r="N267" s="246"/>
      <c r="O267" s="246"/>
      <c r="P267" s="246"/>
      <c r="Q267" s="255"/>
      <c r="R267" s="265"/>
      <c r="S267" s="226">
        <f t="shared" si="15"/>
        <v>-109080</v>
      </c>
      <c r="T267" s="236">
        <f t="shared" si="16"/>
        <v>-1</v>
      </c>
      <c r="U267" s="226">
        <f t="shared" si="17"/>
        <v>0</v>
      </c>
      <c r="V267" s="226">
        <f t="shared" si="18"/>
        <v>-153802.79999999999</v>
      </c>
      <c r="W267" s="236">
        <f t="shared" si="19"/>
        <v>-1</v>
      </c>
      <c r="X267" s="236"/>
    </row>
    <row r="268" spans="1:25" x14ac:dyDescent="0.25">
      <c r="A268" s="146"/>
      <c r="B268" s="146"/>
      <c r="C268" s="118"/>
      <c r="D268" s="122"/>
      <c r="E268" s="123"/>
      <c r="F268" s="55">
        <f ca="1">(F267/F270)</f>
        <v>0.14178238153081735</v>
      </c>
      <c r="G268" s="55">
        <f ca="1">(G267/G270)</f>
        <v>0.14178238153081735</v>
      </c>
      <c r="H268" s="247"/>
      <c r="I268" s="248"/>
      <c r="J268" s="248"/>
      <c r="K268" s="248"/>
      <c r="L268" s="248"/>
      <c r="M268" s="248"/>
      <c r="N268" s="248"/>
      <c r="O268" s="248"/>
      <c r="P268" s="248"/>
      <c r="Q268" s="248"/>
      <c r="R268" s="228"/>
      <c r="S268" s="228"/>
      <c r="T268" s="228"/>
      <c r="U268" s="228"/>
      <c r="V268" s="228"/>
      <c r="W268" s="228"/>
      <c r="X268" s="228"/>
      <c r="Y268" s="53"/>
    </row>
    <row r="269" spans="1:25" x14ac:dyDescent="0.25">
      <c r="A269" s="146"/>
      <c r="B269" s="146"/>
      <c r="C269" s="118"/>
      <c r="D269" s="122"/>
      <c r="E269" s="123"/>
      <c r="F269" s="228"/>
      <c r="G269" s="228"/>
      <c r="H269" s="247"/>
      <c r="I269" s="248"/>
      <c r="J269" s="248"/>
      <c r="K269" s="248"/>
      <c r="L269" s="248"/>
      <c r="M269" s="248"/>
      <c r="N269" s="248"/>
      <c r="O269" s="248"/>
      <c r="P269" s="248"/>
      <c r="Q269" s="248"/>
      <c r="R269" s="228"/>
      <c r="S269" s="228"/>
      <c r="T269" s="228"/>
      <c r="U269" s="228"/>
      <c r="V269" s="228"/>
      <c r="W269" s="228"/>
      <c r="X269" s="228"/>
      <c r="Y269" s="53"/>
    </row>
    <row r="270" spans="1:25" ht="13.8" thickBot="1" x14ac:dyDescent="0.3">
      <c r="A270" s="275"/>
      <c r="B270" s="275" t="s">
        <v>318</v>
      </c>
      <c r="C270" s="276"/>
      <c r="D270" s="277"/>
      <c r="E270" s="274"/>
      <c r="F270" s="279">
        <f ca="1">SUM(F251+F267)</f>
        <v>769348.05878042558</v>
      </c>
      <c r="G270" s="279">
        <f ca="1">G251+G267</f>
        <v>1084780.7628804001</v>
      </c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175"/>
      <c r="S270" s="175"/>
      <c r="T270" s="175"/>
      <c r="U270" s="175"/>
      <c r="V270" s="175"/>
      <c r="W270" s="175"/>
      <c r="X270" s="175"/>
    </row>
    <row r="271" spans="1:25" ht="13.8" thickTop="1" x14ac:dyDescent="0.25">
      <c r="F271" s="4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"/>
      <c r="S271" s="1"/>
      <c r="T271" s="1"/>
      <c r="U271" s="1"/>
      <c r="V271" s="1"/>
      <c r="W271" s="1"/>
      <c r="X271" s="1"/>
    </row>
    <row r="272" spans="1:25" ht="13.8" thickBot="1" x14ac:dyDescent="0.3">
      <c r="A272" s="184" t="s">
        <v>24</v>
      </c>
      <c r="B272" s="185"/>
      <c r="C272" s="186"/>
      <c r="D272" s="187"/>
      <c r="E272" s="188"/>
      <c r="F272" s="56">
        <f ca="1">SUM(F270-F73)</f>
        <v>769348.05878042558</v>
      </c>
      <c r="G272" s="56">
        <f ca="1">SUM(G270-G73)</f>
        <v>1084780.7628804001</v>
      </c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229"/>
      <c r="S272" s="229"/>
      <c r="T272" s="229"/>
      <c r="U272" s="229"/>
      <c r="V272" s="229"/>
      <c r="W272" s="229"/>
      <c r="X272" s="229"/>
    </row>
    <row r="273" spans="1:24" ht="13.8" thickTop="1" x14ac:dyDescent="0.25">
      <c r="F273" s="74"/>
    </row>
    <row r="274" spans="1:24" x14ac:dyDescent="0.25">
      <c r="F274" s="74"/>
    </row>
    <row r="275" spans="1:24" x14ac:dyDescent="0.25">
      <c r="A275" s="70" t="s">
        <v>15</v>
      </c>
      <c r="F275" s="74"/>
    </row>
    <row r="276" spans="1:24" x14ac:dyDescent="0.25">
      <c r="F276" s="74"/>
    </row>
    <row r="277" spans="1:24" ht="15" x14ac:dyDescent="0.4">
      <c r="B277" s="190" t="s">
        <v>16</v>
      </c>
      <c r="D277" s="191" t="s">
        <v>26</v>
      </c>
      <c r="F277" s="393" t="s">
        <v>17</v>
      </c>
      <c r="G277" s="394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</row>
    <row r="278" spans="1:24" x14ac:dyDescent="0.25">
      <c r="B278" s="77" t="s">
        <v>810</v>
      </c>
      <c r="D278" s="161" t="s">
        <v>811</v>
      </c>
      <c r="F278" s="74" t="s">
        <v>765</v>
      </c>
    </row>
    <row r="279" spans="1:24" x14ac:dyDescent="0.25">
      <c r="B279" s="77" t="s">
        <v>390</v>
      </c>
      <c r="D279" s="161" t="s">
        <v>812</v>
      </c>
      <c r="F279" s="74" t="s">
        <v>765</v>
      </c>
    </row>
    <row r="280" spans="1:24" x14ac:dyDescent="0.25">
      <c r="F280" s="74"/>
    </row>
    <row r="281" spans="1:24" x14ac:dyDescent="0.25">
      <c r="F281" s="74"/>
    </row>
    <row r="282" spans="1:24" x14ac:dyDescent="0.25">
      <c r="F282" s="74"/>
    </row>
    <row r="283" spans="1:24" x14ac:dyDescent="0.25">
      <c r="F283" s="74"/>
    </row>
    <row r="284" spans="1:24" x14ac:dyDescent="0.25">
      <c r="F284" s="74"/>
    </row>
    <row r="285" spans="1:24" x14ac:dyDescent="0.25">
      <c r="F285" s="74"/>
    </row>
    <row r="286" spans="1:24" x14ac:dyDescent="0.25">
      <c r="F286" s="74"/>
    </row>
    <row r="287" spans="1:24" x14ac:dyDescent="0.25">
      <c r="F287" s="74"/>
    </row>
    <row r="288" spans="1:24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  <row r="1889" spans="6:6" x14ac:dyDescent="0.25">
      <c r="F1889" s="74"/>
    </row>
    <row r="1890" spans="6:6" x14ac:dyDescent="0.25">
      <c r="F1890" s="74"/>
    </row>
    <row r="1891" spans="6:6" x14ac:dyDescent="0.25">
      <c r="F1891" s="74"/>
    </row>
  </sheetData>
  <mergeCells count="3">
    <mergeCell ref="A1:G1"/>
    <mergeCell ref="H76:Q76"/>
    <mergeCell ref="F277:G277"/>
  </mergeCells>
  <conditionalFormatting sqref="F268:X269">
    <cfRule type="cellIs" dxfId="2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9"/>
  <sheetViews>
    <sheetView view="pageBreakPreview" zoomScale="92" zoomScaleNormal="100" zoomScaleSheetLayoutView="92" workbookViewId="0">
      <pane ySplit="14" topLeftCell="A257" activePane="bottomLeft" state="frozen"/>
      <selection pane="bottomLeft" activeCell="Y274" sqref="Y274"/>
    </sheetView>
  </sheetViews>
  <sheetFormatPr defaultColWidth="9.109375" defaultRowHeight="13.2" x14ac:dyDescent="0.25"/>
  <cols>
    <col min="1" max="1" width="6.332031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2.44140625" style="49" customWidth="1"/>
    <col min="8" max="17" width="10.109375" style="49" hidden="1" customWidth="1"/>
    <col min="18" max="19" width="14.33203125" style="49" hidden="1" customWidth="1"/>
    <col min="20" max="24" width="10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f>Consolidated!C4</f>
        <v>1</v>
      </c>
      <c r="F4" s="74"/>
      <c r="Y4" s="77"/>
    </row>
    <row r="5" spans="1:27" x14ac:dyDescent="0.25">
      <c r="B5" s="78" t="s">
        <v>166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766</v>
      </c>
    </row>
    <row r="8" spans="1:27" ht="14.4" x14ac:dyDescent="0.3">
      <c r="A8" s="70" t="s">
        <v>63</v>
      </c>
      <c r="C8" s="79" t="s">
        <v>837</v>
      </c>
      <c r="Y8" s="366"/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842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206" t="s">
        <v>80</v>
      </c>
      <c r="B83" s="57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46" si="1">R83-F83</f>
        <v>0</v>
      </c>
      <c r="T83" s="231">
        <f t="shared" ref="T83:T146" si="2">IF(F83=0,0,S83/F83)</f>
        <v>0</v>
      </c>
      <c r="U83" s="225">
        <f t="shared" ref="U83:U146" si="3">R83*$C$4</f>
        <v>0</v>
      </c>
      <c r="V83" s="225">
        <f t="shared" ref="V83:V146" si="4">U83-G83</f>
        <v>0</v>
      </c>
      <c r="W83" s="231">
        <f t="shared" ref="W83:W146" si="5">IF(G83=0,0,V83/G83)</f>
        <v>0</v>
      </c>
      <c r="X83" s="231"/>
    </row>
    <row r="84" spans="1:24" hidden="1" x14ac:dyDescent="0.25">
      <c r="A84" s="207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207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207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207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207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204"/>
      <c r="B89" s="205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57" t="s">
        <v>696</v>
      </c>
      <c r="C91" s="21" t="s">
        <v>392</v>
      </c>
      <c r="D91" s="25">
        <v>12</v>
      </c>
      <c r="E91" s="18">
        <v>2000</v>
      </c>
      <c r="F91" s="48">
        <f t="shared" ref="F91:F96" si="6">D91*E91</f>
        <v>24000</v>
      </c>
      <c r="G91" s="49">
        <f>F91*C4</f>
        <v>24000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-24000</v>
      </c>
      <c r="T91" s="231">
        <f t="shared" si="2"/>
        <v>-1</v>
      </c>
      <c r="U91" s="225">
        <f t="shared" si="3"/>
        <v>0</v>
      </c>
      <c r="V91" s="225">
        <f t="shared" si="4"/>
        <v>-24000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697</v>
      </c>
      <c r="C92" s="21" t="s">
        <v>392</v>
      </c>
      <c r="D92" s="25">
        <f>12*2</f>
        <v>24</v>
      </c>
      <c r="E92" s="18">
        <v>1500</v>
      </c>
      <c r="F92" s="48">
        <f t="shared" si="6"/>
        <v>36000</v>
      </c>
      <c r="G92" s="49">
        <f>F92*C4</f>
        <v>36000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-36000</v>
      </c>
      <c r="T92" s="231">
        <f t="shared" si="2"/>
        <v>-1</v>
      </c>
      <c r="U92" s="225">
        <f t="shared" si="3"/>
        <v>0</v>
      </c>
      <c r="V92" s="225">
        <f t="shared" si="4"/>
        <v>-36000</v>
      </c>
      <c r="W92" s="231">
        <f t="shared" si="5"/>
        <v>-1</v>
      </c>
      <c r="X92" s="231"/>
    </row>
    <row r="93" spans="1:24" x14ac:dyDescent="0.25">
      <c r="A93" s="144" t="s">
        <v>89</v>
      </c>
      <c r="B93" s="57" t="s">
        <v>698</v>
      </c>
      <c r="C93" s="21" t="s">
        <v>392</v>
      </c>
      <c r="D93" s="25">
        <v>12</v>
      </c>
      <c r="E93" s="18">
        <v>1500</v>
      </c>
      <c r="F93" s="48">
        <f t="shared" si="6"/>
        <v>18000</v>
      </c>
      <c r="G93" s="49">
        <f>F93*C4</f>
        <v>18000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-18000</v>
      </c>
      <c r="T93" s="231">
        <f t="shared" si="2"/>
        <v>-1</v>
      </c>
      <c r="U93" s="225">
        <f t="shared" si="3"/>
        <v>0</v>
      </c>
      <c r="V93" s="225">
        <f t="shared" si="4"/>
        <v>-18000</v>
      </c>
      <c r="W93" s="231">
        <f t="shared" si="5"/>
        <v>-1</v>
      </c>
      <c r="X93" s="231"/>
    </row>
    <row r="94" spans="1:24" ht="26.4" x14ac:dyDescent="0.25">
      <c r="A94" s="144" t="s">
        <v>90</v>
      </c>
      <c r="B94" s="57" t="s">
        <v>699</v>
      </c>
      <c r="C94" s="21" t="s">
        <v>392</v>
      </c>
      <c r="D94" s="25">
        <v>12</v>
      </c>
      <c r="E94" s="18">
        <v>1500</v>
      </c>
      <c r="F94" s="48">
        <f t="shared" si="6"/>
        <v>18000</v>
      </c>
      <c r="G94" s="49">
        <f>F94*C4</f>
        <v>18000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-18000</v>
      </c>
      <c r="T94" s="231">
        <f t="shared" si="2"/>
        <v>-1</v>
      </c>
      <c r="U94" s="225">
        <f t="shared" si="3"/>
        <v>0</v>
      </c>
      <c r="V94" s="225">
        <f t="shared" si="4"/>
        <v>-18000</v>
      </c>
      <c r="W94" s="231">
        <f t="shared" si="5"/>
        <v>-1</v>
      </c>
      <c r="X94" s="231"/>
    </row>
    <row r="95" spans="1:24" hidden="1" x14ac:dyDescent="0.25">
      <c r="A95" s="144" t="s">
        <v>91</v>
      </c>
      <c r="B95" s="57"/>
      <c r="C95" s="21"/>
      <c r="D95" s="25"/>
      <c r="E95" s="18"/>
      <c r="F95" s="48">
        <f t="shared" si="6"/>
        <v>0</v>
      </c>
      <c r="G95" s="49">
        <f>F95*C4</f>
        <v>0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0</v>
      </c>
      <c r="T95" s="231">
        <f t="shared" si="2"/>
        <v>0</v>
      </c>
      <c r="U95" s="225">
        <f t="shared" si="3"/>
        <v>0</v>
      </c>
      <c r="V95" s="225">
        <f t="shared" si="4"/>
        <v>0</v>
      </c>
      <c r="W95" s="231">
        <f t="shared" si="5"/>
        <v>0</v>
      </c>
      <c r="X95" s="231"/>
    </row>
    <row r="96" spans="1:24" hidden="1" x14ac:dyDescent="0.25">
      <c r="A96" s="144" t="s">
        <v>92</v>
      </c>
      <c r="B96" s="57"/>
      <c r="C96" s="21"/>
      <c r="D96" s="25"/>
      <c r="E96" s="18"/>
      <c r="F96" s="48">
        <f t="shared" si="6"/>
        <v>0</v>
      </c>
      <c r="G96" s="49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185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hidden="1" x14ac:dyDescent="0.25">
      <c r="A99" s="194"/>
      <c r="B99" s="195" t="s">
        <v>184</v>
      </c>
      <c r="C99" s="196"/>
      <c r="D99" s="197"/>
      <c r="E99" s="198"/>
      <c r="F99" s="199">
        <f>SUM(F91:F97)</f>
        <v>96000</v>
      </c>
      <c r="G99" s="194">
        <f>SUM(G91:G97)</f>
        <v>96000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-96000</v>
      </c>
      <c r="T99" s="231">
        <f t="shared" si="2"/>
        <v>-1</v>
      </c>
      <c r="U99" s="225">
        <f t="shared" si="3"/>
        <v>0</v>
      </c>
      <c r="V99" s="225">
        <f t="shared" si="4"/>
        <v>-96000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96000</v>
      </c>
      <c r="G100" s="50">
        <f>SUM(G81+G83+G84+G85+G86+G87+G88+G91+G92+G93+G94+G95+G96)</f>
        <v>96000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-96000</v>
      </c>
      <c r="T100" s="238">
        <f t="shared" si="2"/>
        <v>-1</v>
      </c>
      <c r="U100" s="237">
        <f t="shared" si="3"/>
        <v>0</v>
      </c>
      <c r="V100" s="237">
        <f t="shared" si="4"/>
        <v>-96000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hidden="1" x14ac:dyDescent="0.25">
      <c r="A103" s="220" t="s">
        <v>94</v>
      </c>
      <c r="B103" s="221" t="s">
        <v>66</v>
      </c>
      <c r="C103" s="217"/>
      <c r="D103" s="218"/>
      <c r="E103" s="219"/>
      <c r="F103" s="208">
        <f>SUM(F104:F108)</f>
        <v>0</v>
      </c>
      <c r="G103" s="209">
        <f>SUM(G104:G108)</f>
        <v>0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0</v>
      </c>
      <c r="T103" s="240">
        <f t="shared" si="2"/>
        <v>0</v>
      </c>
      <c r="U103" s="239">
        <f t="shared" si="3"/>
        <v>0</v>
      </c>
      <c r="V103" s="239">
        <f t="shared" si="4"/>
        <v>0</v>
      </c>
      <c r="W103" s="240">
        <f t="shared" si="5"/>
        <v>0</v>
      </c>
      <c r="X103" s="240"/>
    </row>
    <row r="104" spans="1:24" hidden="1" x14ac:dyDescent="0.25">
      <c r="A104" s="148" t="s">
        <v>195</v>
      </c>
      <c r="B104" s="106" t="s">
        <v>249</v>
      </c>
      <c r="C104" s="28"/>
      <c r="D104" s="29"/>
      <c r="E104" s="30"/>
      <c r="F104" s="48">
        <f>D104*E104</f>
        <v>0</v>
      </c>
      <c r="G104" s="49">
        <f>F104*C4</f>
        <v>0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0</v>
      </c>
      <c r="T104" s="231">
        <f t="shared" si="2"/>
        <v>0</v>
      </c>
      <c r="U104" s="225">
        <f t="shared" si="3"/>
        <v>0</v>
      </c>
      <c r="V104" s="225">
        <f t="shared" si="4"/>
        <v>0</v>
      </c>
      <c r="W104" s="231">
        <f t="shared" si="5"/>
        <v>0</v>
      </c>
      <c r="X104" s="231"/>
    </row>
    <row r="105" spans="1:24" hidden="1" x14ac:dyDescent="0.25">
      <c r="A105" s="148" t="s">
        <v>196</v>
      </c>
      <c r="B105" s="106" t="s">
        <v>250</v>
      </c>
      <c r="C105" s="28"/>
      <c r="D105" s="29"/>
      <c r="E105" s="30"/>
      <c r="F105" s="48">
        <f>D105*E105</f>
        <v>0</v>
      </c>
      <c r="G105" s="49">
        <f>F105*C4</f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0</v>
      </c>
      <c r="T105" s="231">
        <f t="shared" si="2"/>
        <v>0</v>
      </c>
      <c r="U105" s="225">
        <f t="shared" si="3"/>
        <v>0</v>
      </c>
      <c r="V105" s="225">
        <f t="shared" si="4"/>
        <v>0</v>
      </c>
      <c r="W105" s="231">
        <f t="shared" si="5"/>
        <v>0</v>
      </c>
      <c r="X105" s="231"/>
    </row>
    <row r="106" spans="1:24" hidden="1" x14ac:dyDescent="0.25">
      <c r="A106" s="148" t="s">
        <v>197</v>
      </c>
      <c r="B106" s="106" t="s">
        <v>251</v>
      </c>
      <c r="C106" s="28"/>
      <c r="D106" s="29"/>
      <c r="E106" s="30"/>
      <c r="F106" s="48">
        <f>D106*E106</f>
        <v>0</v>
      </c>
      <c r="G106" s="49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49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hidden="1" x14ac:dyDescent="0.25">
      <c r="A109" s="220" t="s">
        <v>95</v>
      </c>
      <c r="B109" s="221" t="s">
        <v>55</v>
      </c>
      <c r="C109" s="217"/>
      <c r="D109" s="218"/>
      <c r="E109" s="219"/>
      <c r="F109" s="208">
        <f>SUM(F110:F114)</f>
        <v>0</v>
      </c>
      <c r="G109" s="209">
        <f>SUM(G110:G114)</f>
        <v>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0</v>
      </c>
      <c r="T109" s="240">
        <f t="shared" si="2"/>
        <v>0</v>
      </c>
      <c r="U109" s="239">
        <f t="shared" si="3"/>
        <v>0</v>
      </c>
      <c r="V109" s="239">
        <f t="shared" si="4"/>
        <v>0</v>
      </c>
      <c r="W109" s="240">
        <f t="shared" si="5"/>
        <v>0</v>
      </c>
      <c r="X109" s="240"/>
    </row>
    <row r="110" spans="1:24" hidden="1" x14ac:dyDescent="0.25">
      <c r="A110" s="148" t="s">
        <v>200</v>
      </c>
      <c r="B110" s="106" t="s">
        <v>254</v>
      </c>
      <c r="C110" s="28"/>
      <c r="D110" s="29"/>
      <c r="E110" s="30"/>
      <c r="F110" s="48">
        <f>D110*E110</f>
        <v>0</v>
      </c>
      <c r="G110" s="49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hidden="1" x14ac:dyDescent="0.25">
      <c r="A111" s="148" t="s">
        <v>201</v>
      </c>
      <c r="B111" s="106" t="s">
        <v>258</v>
      </c>
      <c r="C111" s="28"/>
      <c r="D111" s="29"/>
      <c r="E111" s="30"/>
      <c r="F111" s="48">
        <f>D111*E111</f>
        <v>0</v>
      </c>
      <c r="G111" s="49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148" t="s">
        <v>202</v>
      </c>
      <c r="B112" s="106" t="s">
        <v>257</v>
      </c>
      <c r="C112" s="28"/>
      <c r="D112" s="29"/>
      <c r="E112" s="30"/>
      <c r="F112" s="48">
        <f>D112*E112</f>
        <v>0</v>
      </c>
      <c r="G112" s="49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hidden="1" x14ac:dyDescent="0.25">
      <c r="A113" s="148" t="s">
        <v>203</v>
      </c>
      <c r="B113" s="106" t="s">
        <v>256</v>
      </c>
      <c r="C113" s="28"/>
      <c r="D113" s="29"/>
      <c r="E113" s="30"/>
      <c r="F113" s="48">
        <f>D113*E113</f>
        <v>0</v>
      </c>
      <c r="G113" s="49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204</v>
      </c>
      <c r="B114" s="106" t="s">
        <v>255</v>
      </c>
      <c r="C114" s="28"/>
      <c r="D114" s="29"/>
      <c r="E114" s="30"/>
      <c r="F114" s="48">
        <f>D114*E114</f>
        <v>0</v>
      </c>
      <c r="G114" s="49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220" t="s">
        <v>96</v>
      </c>
      <c r="B115" s="221" t="s">
        <v>67</v>
      </c>
      <c r="C115" s="217"/>
      <c r="D115" s="218"/>
      <c r="E115" s="219"/>
      <c r="F115" s="208">
        <f>SUM(F116:F120)</f>
        <v>0</v>
      </c>
      <c r="G115" s="209">
        <f>SUM(G116:G120)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39">
        <f t="shared" si="1"/>
        <v>0</v>
      </c>
      <c r="T115" s="240">
        <f t="shared" si="2"/>
        <v>0</v>
      </c>
      <c r="U115" s="239">
        <f t="shared" si="3"/>
        <v>0</v>
      </c>
      <c r="V115" s="239">
        <f t="shared" si="4"/>
        <v>0</v>
      </c>
      <c r="W115" s="240">
        <f t="shared" si="5"/>
        <v>0</v>
      </c>
      <c r="X115" s="240"/>
    </row>
    <row r="116" spans="1:24" hidden="1" x14ac:dyDescent="0.25">
      <c r="A116" s="148" t="s">
        <v>205</v>
      </c>
      <c r="B116" s="106" t="s">
        <v>259</v>
      </c>
      <c r="C116" s="28"/>
      <c r="D116" s="29"/>
      <c r="E116" s="30"/>
      <c r="F116" s="48">
        <f>D116*E116</f>
        <v>0</v>
      </c>
      <c r="G116" s="49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206</v>
      </c>
      <c r="B117" s="106" t="s">
        <v>260</v>
      </c>
      <c r="C117" s="28"/>
      <c r="D117" s="29"/>
      <c r="E117" s="30"/>
      <c r="F117" s="48">
        <f>D117*E117</f>
        <v>0</v>
      </c>
      <c r="G117" s="49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148" t="s">
        <v>207</v>
      </c>
      <c r="B118" s="106" t="s">
        <v>261</v>
      </c>
      <c r="C118" s="28"/>
      <c r="D118" s="29"/>
      <c r="E118" s="30"/>
      <c r="F118" s="48">
        <f>D118*E118</f>
        <v>0</v>
      </c>
      <c r="G118" s="49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208</v>
      </c>
      <c r="B119" s="106" t="s">
        <v>262</v>
      </c>
      <c r="C119" s="28"/>
      <c r="D119" s="29"/>
      <c r="E119" s="30"/>
      <c r="F119" s="48">
        <f>D119*E119</f>
        <v>0</v>
      </c>
      <c r="G119" s="49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209</v>
      </c>
      <c r="B120" s="106" t="s">
        <v>263</v>
      </c>
      <c r="C120" s="28"/>
      <c r="D120" s="29"/>
      <c r="E120" s="30"/>
      <c r="F120" s="48">
        <f>D120*E120</f>
        <v>0</v>
      </c>
      <c r="G120" s="49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x14ac:dyDescent="0.25">
      <c r="A121" s="220" t="s">
        <v>97</v>
      </c>
      <c r="B121" s="221" t="s">
        <v>68</v>
      </c>
      <c r="C121" s="217"/>
      <c r="D121" s="218"/>
      <c r="E121" s="219"/>
      <c r="F121" s="208">
        <f>SUM(F122:F126)</f>
        <v>36750</v>
      </c>
      <c r="G121" s="209">
        <f>SUM(G122:G126)</f>
        <v>36750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39">
        <f t="shared" si="1"/>
        <v>-36750</v>
      </c>
      <c r="T121" s="240">
        <f t="shared" si="2"/>
        <v>-1</v>
      </c>
      <c r="U121" s="239">
        <f t="shared" si="3"/>
        <v>0</v>
      </c>
      <c r="V121" s="239">
        <f t="shared" si="4"/>
        <v>-36750</v>
      </c>
      <c r="W121" s="240">
        <f t="shared" si="5"/>
        <v>-1</v>
      </c>
      <c r="X121" s="240"/>
    </row>
    <row r="122" spans="1:24" x14ac:dyDescent="0.25">
      <c r="A122" s="148" t="s">
        <v>210</v>
      </c>
      <c r="B122" s="106" t="s">
        <v>700</v>
      </c>
      <c r="C122" s="28" t="s">
        <v>701</v>
      </c>
      <c r="D122" s="281">
        <f>10*2</f>
        <v>20</v>
      </c>
      <c r="E122" s="282">
        <v>900</v>
      </c>
      <c r="F122" s="48">
        <f>D122*E122</f>
        <v>18000</v>
      </c>
      <c r="G122" s="49">
        <f>F122*C4</f>
        <v>18000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-18000</v>
      </c>
      <c r="T122" s="231">
        <f t="shared" si="2"/>
        <v>-1</v>
      </c>
      <c r="U122" s="225">
        <f t="shared" si="3"/>
        <v>0</v>
      </c>
      <c r="V122" s="225">
        <f t="shared" si="4"/>
        <v>-18000</v>
      </c>
      <c r="W122" s="231">
        <f t="shared" si="5"/>
        <v>-1</v>
      </c>
      <c r="X122" s="231"/>
    </row>
    <row r="123" spans="1:24" x14ac:dyDescent="0.25">
      <c r="A123" s="148" t="s">
        <v>211</v>
      </c>
      <c r="B123" s="106" t="s">
        <v>702</v>
      </c>
      <c r="C123" s="28" t="s">
        <v>703</v>
      </c>
      <c r="D123" s="281">
        <v>150</v>
      </c>
      <c r="E123" s="282">
        <f>125</f>
        <v>125</v>
      </c>
      <c r="F123" s="48">
        <f>D123*E123</f>
        <v>18750</v>
      </c>
      <c r="G123" s="49">
        <f>F123*C4</f>
        <v>18750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-18750</v>
      </c>
      <c r="T123" s="231">
        <f t="shared" si="2"/>
        <v>-1</v>
      </c>
      <c r="U123" s="225">
        <f t="shared" si="3"/>
        <v>0</v>
      </c>
      <c r="V123" s="225">
        <f t="shared" si="4"/>
        <v>-18750</v>
      </c>
      <c r="W123" s="231">
        <f t="shared" si="5"/>
        <v>-1</v>
      </c>
      <c r="X123" s="231"/>
    </row>
    <row r="124" spans="1:24" hidden="1" x14ac:dyDescent="0.25">
      <c r="A124" s="148" t="s">
        <v>212</v>
      </c>
      <c r="B124" s="106" t="s">
        <v>266</v>
      </c>
      <c r="C124" s="28"/>
      <c r="D124" s="29"/>
      <c r="E124" s="30"/>
      <c r="F124" s="48">
        <f>D124*E124</f>
        <v>0</v>
      </c>
      <c r="G124" s="49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213</v>
      </c>
      <c r="B125" s="106" t="s">
        <v>267</v>
      </c>
      <c r="C125" s="28"/>
      <c r="D125" s="29"/>
      <c r="E125" s="30"/>
      <c r="F125" s="48">
        <f>D125*E125</f>
        <v>0</v>
      </c>
      <c r="G125" s="49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214</v>
      </c>
      <c r="B126" s="106" t="s">
        <v>268</v>
      </c>
      <c r="C126" s="28"/>
      <c r="D126" s="29"/>
      <c r="E126" s="30"/>
      <c r="F126" s="48">
        <f>D126*E126</f>
        <v>0</v>
      </c>
      <c r="G126" s="49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x14ac:dyDescent="0.25">
      <c r="A127" s="220" t="s">
        <v>98</v>
      </c>
      <c r="B127" s="221" t="s">
        <v>69</v>
      </c>
      <c r="C127" s="217"/>
      <c r="D127" s="218"/>
      <c r="E127" s="219"/>
      <c r="F127" s="208">
        <f>SUM(F128:F132)</f>
        <v>35000</v>
      </c>
      <c r="G127" s="209">
        <f>SUM(G128:G132)</f>
        <v>35000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39">
        <f t="shared" si="1"/>
        <v>-35000</v>
      </c>
      <c r="T127" s="240">
        <f t="shared" si="2"/>
        <v>-1</v>
      </c>
      <c r="U127" s="239">
        <f t="shared" si="3"/>
        <v>0</v>
      </c>
      <c r="V127" s="239">
        <f t="shared" si="4"/>
        <v>-35000</v>
      </c>
      <c r="W127" s="240">
        <f t="shared" si="5"/>
        <v>-1</v>
      </c>
      <c r="X127" s="240"/>
    </row>
    <row r="128" spans="1:24" ht="26.4" x14ac:dyDescent="0.25">
      <c r="A128" s="148" t="s">
        <v>215</v>
      </c>
      <c r="B128" s="106" t="s">
        <v>704</v>
      </c>
      <c r="C128" s="28" t="s">
        <v>705</v>
      </c>
      <c r="D128" s="281">
        <v>200</v>
      </c>
      <c r="E128" s="282">
        <v>175</v>
      </c>
      <c r="F128" s="48">
        <f>D128*E128</f>
        <v>35000</v>
      </c>
      <c r="G128" s="49">
        <f>F128*C4</f>
        <v>35000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-35000</v>
      </c>
      <c r="T128" s="231">
        <f t="shared" si="2"/>
        <v>-1</v>
      </c>
      <c r="U128" s="225">
        <f t="shared" si="3"/>
        <v>0</v>
      </c>
      <c r="V128" s="225">
        <f t="shared" si="4"/>
        <v>-35000</v>
      </c>
      <c r="W128" s="231">
        <f t="shared" si="5"/>
        <v>-1</v>
      </c>
      <c r="X128" s="231"/>
    </row>
    <row r="129" spans="1:24" hidden="1" x14ac:dyDescent="0.25">
      <c r="A129" s="148" t="s">
        <v>216</v>
      </c>
      <c r="B129" s="106" t="s">
        <v>270</v>
      </c>
      <c r="C129" s="28"/>
      <c r="D129" s="29"/>
      <c r="E129" s="30"/>
      <c r="F129" s="48">
        <f>D129*E129</f>
        <v>0</v>
      </c>
      <c r="G129" s="49">
        <f>F129*C4</f>
        <v>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0</v>
      </c>
      <c r="T129" s="231">
        <f t="shared" si="2"/>
        <v>0</v>
      </c>
      <c r="U129" s="225">
        <f t="shared" si="3"/>
        <v>0</v>
      </c>
      <c r="V129" s="225">
        <f t="shared" si="4"/>
        <v>0</v>
      </c>
      <c r="W129" s="231">
        <f t="shared" si="5"/>
        <v>0</v>
      </c>
      <c r="X129" s="231"/>
    </row>
    <row r="130" spans="1:24" hidden="1" x14ac:dyDescent="0.25">
      <c r="A130" s="148" t="s">
        <v>217</v>
      </c>
      <c r="B130" s="106" t="s">
        <v>271</v>
      </c>
      <c r="C130" s="28"/>
      <c r="D130" s="29"/>
      <c r="E130" s="30"/>
      <c r="F130" s="48">
        <f>D130*E130</f>
        <v>0</v>
      </c>
      <c r="G130" s="49">
        <f>F130*C4</f>
        <v>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0</v>
      </c>
      <c r="T130" s="231">
        <f t="shared" si="2"/>
        <v>0</v>
      </c>
      <c r="U130" s="225">
        <f t="shared" si="3"/>
        <v>0</v>
      </c>
      <c r="V130" s="225">
        <f t="shared" si="4"/>
        <v>0</v>
      </c>
      <c r="W130" s="231">
        <f t="shared" si="5"/>
        <v>0</v>
      </c>
      <c r="X130" s="231"/>
    </row>
    <row r="131" spans="1:24" hidden="1" x14ac:dyDescent="0.25">
      <c r="A131" s="148" t="s">
        <v>218</v>
      </c>
      <c r="B131" s="106" t="s">
        <v>272</v>
      </c>
      <c r="C131" s="28"/>
      <c r="D131" s="29"/>
      <c r="E131" s="30"/>
      <c r="F131" s="48">
        <f>D131*E131</f>
        <v>0</v>
      </c>
      <c r="G131" s="49">
        <f>F131*C4</f>
        <v>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0</v>
      </c>
      <c r="T131" s="231">
        <f t="shared" si="2"/>
        <v>0</v>
      </c>
      <c r="U131" s="225">
        <f t="shared" si="3"/>
        <v>0</v>
      </c>
      <c r="V131" s="225">
        <f t="shared" si="4"/>
        <v>0</v>
      </c>
      <c r="W131" s="231">
        <f t="shared" si="5"/>
        <v>0</v>
      </c>
      <c r="X131" s="231"/>
    </row>
    <row r="132" spans="1:24" hidden="1" x14ac:dyDescent="0.25">
      <c r="A132" s="148" t="s">
        <v>219</v>
      </c>
      <c r="B132" s="106" t="s">
        <v>273</v>
      </c>
      <c r="C132" s="28"/>
      <c r="D132" s="29"/>
      <c r="E132" s="30"/>
      <c r="F132" s="48">
        <f>D132*E132</f>
        <v>0</v>
      </c>
      <c r="G132" s="49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x14ac:dyDescent="0.25">
      <c r="A133" s="220" t="s">
        <v>99</v>
      </c>
      <c r="B133" s="221" t="s">
        <v>54</v>
      </c>
      <c r="C133" s="217"/>
      <c r="D133" s="218"/>
      <c r="E133" s="219"/>
      <c r="F133" s="208">
        <f>SUM(F134:F138)</f>
        <v>51500</v>
      </c>
      <c r="G133" s="209">
        <f>SUM(G134:G138)</f>
        <v>51500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39">
        <f t="shared" si="1"/>
        <v>-51500</v>
      </c>
      <c r="T133" s="240">
        <f t="shared" si="2"/>
        <v>-1</v>
      </c>
      <c r="U133" s="239">
        <f t="shared" si="3"/>
        <v>0</v>
      </c>
      <c r="V133" s="239">
        <f t="shared" si="4"/>
        <v>-51500</v>
      </c>
      <c r="W133" s="240">
        <f t="shared" si="5"/>
        <v>-1</v>
      </c>
      <c r="X133" s="240"/>
    </row>
    <row r="134" spans="1:24" x14ac:dyDescent="0.25">
      <c r="A134" s="148" t="s">
        <v>220</v>
      </c>
      <c r="B134" s="106" t="s">
        <v>706</v>
      </c>
      <c r="C134" s="28" t="s">
        <v>703</v>
      </c>
      <c r="D134" s="281">
        <v>80</v>
      </c>
      <c r="E134" s="282">
        <v>175</v>
      </c>
      <c r="F134" s="48">
        <f>D134*E134</f>
        <v>14000</v>
      </c>
      <c r="G134" s="49">
        <f>F134*C4</f>
        <v>14000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-14000</v>
      </c>
      <c r="T134" s="231">
        <f t="shared" si="2"/>
        <v>-1</v>
      </c>
      <c r="U134" s="225">
        <f t="shared" si="3"/>
        <v>0</v>
      </c>
      <c r="V134" s="225">
        <f t="shared" si="4"/>
        <v>-14000</v>
      </c>
      <c r="W134" s="231">
        <f t="shared" si="5"/>
        <v>-1</v>
      </c>
      <c r="X134" s="231"/>
    </row>
    <row r="135" spans="1:24" x14ac:dyDescent="0.25">
      <c r="A135" s="148" t="s">
        <v>221</v>
      </c>
      <c r="B135" s="106" t="s">
        <v>707</v>
      </c>
      <c r="C135" s="28" t="s">
        <v>705</v>
      </c>
      <c r="D135" s="281">
        <v>25</v>
      </c>
      <c r="E135" s="282">
        <v>1500</v>
      </c>
      <c r="F135" s="48">
        <f>D135*E135</f>
        <v>37500</v>
      </c>
      <c r="G135" s="49">
        <f>F135*C4</f>
        <v>37500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-37500</v>
      </c>
      <c r="T135" s="231">
        <f t="shared" si="2"/>
        <v>-1</v>
      </c>
      <c r="U135" s="225">
        <f t="shared" si="3"/>
        <v>0</v>
      </c>
      <c r="V135" s="225">
        <f t="shared" si="4"/>
        <v>-37500</v>
      </c>
      <c r="W135" s="231">
        <f t="shared" si="5"/>
        <v>-1</v>
      </c>
      <c r="X135" s="231"/>
    </row>
    <row r="136" spans="1:24" hidden="1" x14ac:dyDescent="0.25">
      <c r="A136" s="148" t="s">
        <v>222</v>
      </c>
      <c r="B136" s="106" t="s">
        <v>276</v>
      </c>
      <c r="C136" s="28"/>
      <c r="D136" s="29"/>
      <c r="E136" s="30"/>
      <c r="F136" s="48">
        <f>D136*E136</f>
        <v>0</v>
      </c>
      <c r="G136" s="49">
        <f>F136*C4</f>
        <v>0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0</v>
      </c>
      <c r="T136" s="231">
        <f t="shared" si="2"/>
        <v>0</v>
      </c>
      <c r="U136" s="225">
        <f t="shared" si="3"/>
        <v>0</v>
      </c>
      <c r="V136" s="225">
        <f t="shared" si="4"/>
        <v>0</v>
      </c>
      <c r="W136" s="231">
        <f t="shared" si="5"/>
        <v>0</v>
      </c>
      <c r="X136" s="231"/>
    </row>
    <row r="137" spans="1:24" hidden="1" x14ac:dyDescent="0.25">
      <c r="A137" s="148" t="s">
        <v>223</v>
      </c>
      <c r="B137" s="106" t="s">
        <v>277</v>
      </c>
      <c r="C137" s="28"/>
      <c r="D137" s="29"/>
      <c r="E137" s="30"/>
      <c r="F137" s="48">
        <f>D137*E137</f>
        <v>0</v>
      </c>
      <c r="G137" s="49">
        <f>F137*C4</f>
        <v>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0</v>
      </c>
      <c r="T137" s="231">
        <f t="shared" si="2"/>
        <v>0</v>
      </c>
      <c r="U137" s="225">
        <f t="shared" si="3"/>
        <v>0</v>
      </c>
      <c r="V137" s="225">
        <f t="shared" si="4"/>
        <v>0</v>
      </c>
      <c r="W137" s="231">
        <f t="shared" si="5"/>
        <v>0</v>
      </c>
      <c r="X137" s="231"/>
    </row>
    <row r="138" spans="1:24" hidden="1" x14ac:dyDescent="0.25">
      <c r="A138" s="148" t="s">
        <v>224</v>
      </c>
      <c r="B138" s="106" t="s">
        <v>278</v>
      </c>
      <c r="C138" s="28"/>
      <c r="D138" s="29"/>
      <c r="E138" s="30"/>
      <c r="F138" s="48">
        <f>D138*E138</f>
        <v>0</v>
      </c>
      <c r="G138" s="49">
        <f>F138*C4</f>
        <v>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0</v>
      </c>
      <c r="T138" s="231">
        <f t="shared" si="2"/>
        <v>0</v>
      </c>
      <c r="U138" s="225">
        <f t="shared" si="3"/>
        <v>0</v>
      </c>
      <c r="V138" s="225">
        <f t="shared" si="4"/>
        <v>0</v>
      </c>
      <c r="W138" s="231">
        <f t="shared" si="5"/>
        <v>0</v>
      </c>
      <c r="X138" s="231"/>
    </row>
    <row r="139" spans="1:24" x14ac:dyDescent="0.25">
      <c r="A139" s="220" t="s">
        <v>100</v>
      </c>
      <c r="B139" s="221" t="s">
        <v>53</v>
      </c>
      <c r="C139" s="217"/>
      <c r="D139" s="218"/>
      <c r="E139" s="219"/>
      <c r="F139" s="208">
        <f>SUM(F140:F144)</f>
        <v>475000</v>
      </c>
      <c r="G139" s="209">
        <f>SUM(G140:G144)</f>
        <v>475000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39">
        <f t="shared" si="1"/>
        <v>-475000</v>
      </c>
      <c r="T139" s="240">
        <f t="shared" si="2"/>
        <v>-1</v>
      </c>
      <c r="U139" s="239">
        <f t="shared" si="3"/>
        <v>0</v>
      </c>
      <c r="V139" s="239">
        <f t="shared" si="4"/>
        <v>-475000</v>
      </c>
      <c r="W139" s="240">
        <f t="shared" si="5"/>
        <v>-1</v>
      </c>
      <c r="X139" s="240"/>
    </row>
    <row r="140" spans="1:24" x14ac:dyDescent="0.25">
      <c r="A140" s="148" t="s">
        <v>225</v>
      </c>
      <c r="B140" s="106" t="s">
        <v>708</v>
      </c>
      <c r="C140" s="28" t="s">
        <v>614</v>
      </c>
      <c r="D140" s="281">
        <v>150</v>
      </c>
      <c r="E140" s="282">
        <v>300</v>
      </c>
      <c r="F140" s="48">
        <f>D140*E140</f>
        <v>45000</v>
      </c>
      <c r="G140" s="49">
        <f>F140*C4</f>
        <v>45000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1"/>
        <v>-45000</v>
      </c>
      <c r="T140" s="231">
        <f t="shared" si="2"/>
        <v>-1</v>
      </c>
      <c r="U140" s="225">
        <f t="shared" si="3"/>
        <v>0</v>
      </c>
      <c r="V140" s="225">
        <f t="shared" si="4"/>
        <v>-45000</v>
      </c>
      <c r="W140" s="231">
        <f t="shared" si="5"/>
        <v>-1</v>
      </c>
      <c r="X140" s="231"/>
    </row>
    <row r="141" spans="1:24" x14ac:dyDescent="0.25">
      <c r="A141" s="148" t="s">
        <v>226</v>
      </c>
      <c r="B141" s="106" t="s">
        <v>709</v>
      </c>
      <c r="C141" s="28" t="s">
        <v>614</v>
      </c>
      <c r="D141" s="281">
        <v>200</v>
      </c>
      <c r="E141" s="282">
        <v>600</v>
      </c>
      <c r="F141" s="48">
        <f>D141*E141</f>
        <v>120000</v>
      </c>
      <c r="G141" s="49">
        <f>F141*C4</f>
        <v>120000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-120000</v>
      </c>
      <c r="T141" s="231">
        <f t="shared" si="2"/>
        <v>-1</v>
      </c>
      <c r="U141" s="225">
        <f t="shared" si="3"/>
        <v>0</v>
      </c>
      <c r="V141" s="225">
        <f t="shared" si="4"/>
        <v>-120000</v>
      </c>
      <c r="W141" s="231">
        <f t="shared" si="5"/>
        <v>-1</v>
      </c>
      <c r="X141" s="231"/>
    </row>
    <row r="142" spans="1:24" x14ac:dyDescent="0.25">
      <c r="A142" s="148" t="s">
        <v>227</v>
      </c>
      <c r="B142" s="106" t="s">
        <v>710</v>
      </c>
      <c r="C142" s="28" t="s">
        <v>614</v>
      </c>
      <c r="D142" s="281">
        <v>250</v>
      </c>
      <c r="E142" s="282">
        <v>1200</v>
      </c>
      <c r="F142" s="48">
        <f>D142*E142</f>
        <v>300000</v>
      </c>
      <c r="G142" s="49">
        <f>F142*C4</f>
        <v>300000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1"/>
        <v>-300000</v>
      </c>
      <c r="T142" s="231">
        <f t="shared" si="2"/>
        <v>-1</v>
      </c>
      <c r="U142" s="225">
        <f t="shared" si="3"/>
        <v>0</v>
      </c>
      <c r="V142" s="225">
        <f t="shared" si="4"/>
        <v>-300000</v>
      </c>
      <c r="W142" s="231">
        <f t="shared" si="5"/>
        <v>-1</v>
      </c>
      <c r="X142" s="231"/>
    </row>
    <row r="143" spans="1:24" ht="26.4" x14ac:dyDescent="0.25">
      <c r="A143" s="148" t="s">
        <v>228</v>
      </c>
      <c r="B143" s="106" t="s">
        <v>711</v>
      </c>
      <c r="C143" s="28" t="s">
        <v>436</v>
      </c>
      <c r="D143" s="281">
        <v>1</v>
      </c>
      <c r="E143" s="282">
        <v>10000</v>
      </c>
      <c r="F143" s="48">
        <f>D143*E143</f>
        <v>10000</v>
      </c>
      <c r="G143" s="49">
        <f>F143*C4</f>
        <v>10000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-10000</v>
      </c>
      <c r="T143" s="231">
        <f t="shared" si="2"/>
        <v>-1</v>
      </c>
      <c r="U143" s="225">
        <f t="shared" si="3"/>
        <v>0</v>
      </c>
      <c r="V143" s="225">
        <f t="shared" si="4"/>
        <v>-10000</v>
      </c>
      <c r="W143" s="231">
        <f t="shared" si="5"/>
        <v>-1</v>
      </c>
      <c r="X143" s="231"/>
    </row>
    <row r="144" spans="1:24" hidden="1" x14ac:dyDescent="0.25">
      <c r="A144" s="148" t="s">
        <v>229</v>
      </c>
      <c r="B144" s="106" t="s">
        <v>283</v>
      </c>
      <c r="C144" s="28"/>
      <c r="D144" s="29"/>
      <c r="E144" s="30"/>
      <c r="F144" s="48">
        <f>D144*E144</f>
        <v>0</v>
      </c>
      <c r="G144" s="49">
        <f>F144*C4</f>
        <v>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0</v>
      </c>
      <c r="T144" s="231">
        <f t="shared" si="2"/>
        <v>0</v>
      </c>
      <c r="U144" s="225">
        <f t="shared" si="3"/>
        <v>0</v>
      </c>
      <c r="V144" s="225">
        <f t="shared" si="4"/>
        <v>0</v>
      </c>
      <c r="W144" s="231">
        <f t="shared" si="5"/>
        <v>0</v>
      </c>
      <c r="X144" s="231"/>
    </row>
    <row r="145" spans="1:24" hidden="1" x14ac:dyDescent="0.25">
      <c r="A145" s="220" t="s">
        <v>101</v>
      </c>
      <c r="B145" s="221" t="s">
        <v>70</v>
      </c>
      <c r="C145" s="217"/>
      <c r="D145" s="218"/>
      <c r="E145" s="219"/>
      <c r="F145" s="208">
        <f>SUM(F146:F150)</f>
        <v>0</v>
      </c>
      <c r="G145" s="209">
        <f>SUM(G146:G150)</f>
        <v>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39">
        <f t="shared" si="1"/>
        <v>0</v>
      </c>
      <c r="T145" s="240">
        <f t="shared" si="2"/>
        <v>0</v>
      </c>
      <c r="U145" s="239">
        <f t="shared" si="3"/>
        <v>0</v>
      </c>
      <c r="V145" s="239">
        <f t="shared" si="4"/>
        <v>0</v>
      </c>
      <c r="W145" s="240">
        <f t="shared" si="5"/>
        <v>0</v>
      </c>
      <c r="X145" s="240"/>
    </row>
    <row r="146" spans="1:24" hidden="1" x14ac:dyDescent="0.25">
      <c r="A146" s="148" t="s">
        <v>230</v>
      </c>
      <c r="B146" s="106" t="s">
        <v>284</v>
      </c>
      <c r="C146" s="28"/>
      <c r="D146" s="29"/>
      <c r="E146" s="30"/>
      <c r="F146" s="48">
        <f>D146*E146</f>
        <v>0</v>
      </c>
      <c r="G146" s="49">
        <f>F146*C4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1"/>
        <v>0</v>
      </c>
      <c r="T146" s="231">
        <f t="shared" si="2"/>
        <v>0</v>
      </c>
      <c r="U146" s="225">
        <f t="shared" si="3"/>
        <v>0</v>
      </c>
      <c r="V146" s="225">
        <f t="shared" si="4"/>
        <v>0</v>
      </c>
      <c r="W146" s="231">
        <f t="shared" si="5"/>
        <v>0</v>
      </c>
      <c r="X146" s="231"/>
    </row>
    <row r="147" spans="1:24" hidden="1" x14ac:dyDescent="0.25">
      <c r="A147" s="148" t="s">
        <v>231</v>
      </c>
      <c r="B147" s="106" t="s">
        <v>285</v>
      </c>
      <c r="C147" s="28"/>
      <c r="D147" s="29"/>
      <c r="E147" s="30"/>
      <c r="F147" s="48">
        <f>D147*E147</f>
        <v>0</v>
      </c>
      <c r="G147" s="49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ref="S147:S210" si="7">R147-F147</f>
        <v>0</v>
      </c>
      <c r="T147" s="231">
        <f t="shared" ref="T147:T210" si="8">IF(F147=0,0,S147/F147)</f>
        <v>0</v>
      </c>
      <c r="U147" s="225">
        <f t="shared" ref="U147:U210" si="9">R147*$C$4</f>
        <v>0</v>
      </c>
      <c r="V147" s="225">
        <f t="shared" ref="V147:V210" si="10">U147-G147</f>
        <v>0</v>
      </c>
      <c r="W147" s="231">
        <f t="shared" ref="W147:W210" si="11">IF(G147=0,0,V147/G147)</f>
        <v>0</v>
      </c>
      <c r="X147" s="231"/>
    </row>
    <row r="148" spans="1:24" hidden="1" x14ac:dyDescent="0.25">
      <c r="A148" s="148" t="s">
        <v>232</v>
      </c>
      <c r="B148" s="106" t="s">
        <v>286</v>
      </c>
      <c r="C148" s="28"/>
      <c r="D148" s="29"/>
      <c r="E148" s="30"/>
      <c r="F148" s="48">
        <f>D148*E148</f>
        <v>0</v>
      </c>
      <c r="G148" s="49">
        <f>F148*C4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si="7"/>
        <v>0</v>
      </c>
      <c r="T148" s="231">
        <f t="shared" si="8"/>
        <v>0</v>
      </c>
      <c r="U148" s="225">
        <f t="shared" si="9"/>
        <v>0</v>
      </c>
      <c r="V148" s="225">
        <f t="shared" si="10"/>
        <v>0</v>
      </c>
      <c r="W148" s="231">
        <f t="shared" si="11"/>
        <v>0</v>
      </c>
      <c r="X148" s="231"/>
    </row>
    <row r="149" spans="1:24" hidden="1" x14ac:dyDescent="0.25">
      <c r="A149" s="148" t="s">
        <v>233</v>
      </c>
      <c r="B149" s="106" t="s">
        <v>287</v>
      </c>
      <c r="C149" s="28"/>
      <c r="D149" s="29"/>
      <c r="E149" s="30"/>
      <c r="F149" s="48">
        <f>D149*E149</f>
        <v>0</v>
      </c>
      <c r="G149" s="49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7"/>
        <v>0</v>
      </c>
      <c r="T149" s="231">
        <f t="shared" si="8"/>
        <v>0</v>
      </c>
      <c r="U149" s="225">
        <f t="shared" si="9"/>
        <v>0</v>
      </c>
      <c r="V149" s="225">
        <f t="shared" si="10"/>
        <v>0</v>
      </c>
      <c r="W149" s="231">
        <f t="shared" si="11"/>
        <v>0</v>
      </c>
      <c r="X149" s="231"/>
    </row>
    <row r="150" spans="1:24" hidden="1" x14ac:dyDescent="0.25">
      <c r="A150" s="148" t="s">
        <v>234</v>
      </c>
      <c r="B150" s="106" t="s">
        <v>288</v>
      </c>
      <c r="C150" s="28"/>
      <c r="D150" s="29"/>
      <c r="E150" s="30"/>
      <c r="F150" s="48">
        <f>D150*E150</f>
        <v>0</v>
      </c>
      <c r="G150" s="49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7"/>
        <v>0</v>
      </c>
      <c r="T150" s="231">
        <f t="shared" si="8"/>
        <v>0</v>
      </c>
      <c r="U150" s="225">
        <f t="shared" si="9"/>
        <v>0</v>
      </c>
      <c r="V150" s="225">
        <f t="shared" si="10"/>
        <v>0</v>
      </c>
      <c r="W150" s="231">
        <f t="shared" si="11"/>
        <v>0</v>
      </c>
      <c r="X150" s="231"/>
    </row>
    <row r="151" spans="1:24" hidden="1" x14ac:dyDescent="0.25">
      <c r="A151" s="220" t="s">
        <v>102</v>
      </c>
      <c r="B151" s="221" t="s">
        <v>295</v>
      </c>
      <c r="C151" s="217"/>
      <c r="D151" s="218"/>
      <c r="E151" s="219"/>
      <c r="F151" s="208">
        <f>SUM(F152:F156)</f>
        <v>0</v>
      </c>
      <c r="G151" s="209">
        <f>SUM(G152:G156)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39">
        <f t="shared" si="7"/>
        <v>0</v>
      </c>
      <c r="T151" s="240">
        <f t="shared" si="8"/>
        <v>0</v>
      </c>
      <c r="U151" s="239">
        <f t="shared" si="9"/>
        <v>0</v>
      </c>
      <c r="V151" s="239">
        <f t="shared" si="10"/>
        <v>0</v>
      </c>
      <c r="W151" s="240">
        <f t="shared" si="11"/>
        <v>0</v>
      </c>
      <c r="X151" s="240"/>
    </row>
    <row r="152" spans="1:24" hidden="1" x14ac:dyDescent="0.25">
      <c r="A152" s="153" t="s">
        <v>235</v>
      </c>
      <c r="B152" s="106" t="s">
        <v>298</v>
      </c>
      <c r="C152" s="28"/>
      <c r="D152" s="29"/>
      <c r="E152" s="30"/>
      <c r="F152" s="48">
        <f>D152*E152</f>
        <v>0</v>
      </c>
      <c r="G152" s="49">
        <f>F152*C4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7"/>
        <v>0</v>
      </c>
      <c r="T152" s="231">
        <f t="shared" si="8"/>
        <v>0</v>
      </c>
      <c r="U152" s="225">
        <f t="shared" si="9"/>
        <v>0</v>
      </c>
      <c r="V152" s="225">
        <f t="shared" si="10"/>
        <v>0</v>
      </c>
      <c r="W152" s="231">
        <f t="shared" si="11"/>
        <v>0</v>
      </c>
      <c r="X152" s="231"/>
    </row>
    <row r="153" spans="1:24" hidden="1" x14ac:dyDescent="0.25">
      <c r="A153" s="153" t="s">
        <v>236</v>
      </c>
      <c r="B153" s="106" t="s">
        <v>299</v>
      </c>
      <c r="C153" s="28"/>
      <c r="D153" s="29"/>
      <c r="E153" s="30"/>
      <c r="F153" s="48">
        <f>D153*E153</f>
        <v>0</v>
      </c>
      <c r="G153" s="49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7"/>
        <v>0</v>
      </c>
      <c r="T153" s="231">
        <f t="shared" si="8"/>
        <v>0</v>
      </c>
      <c r="U153" s="225">
        <f t="shared" si="9"/>
        <v>0</v>
      </c>
      <c r="V153" s="225">
        <f t="shared" si="10"/>
        <v>0</v>
      </c>
      <c r="W153" s="231">
        <f t="shared" si="11"/>
        <v>0</v>
      </c>
      <c r="X153" s="231"/>
    </row>
    <row r="154" spans="1:24" hidden="1" x14ac:dyDescent="0.25">
      <c r="A154" s="153" t="s">
        <v>237</v>
      </c>
      <c r="B154" s="106" t="s">
        <v>300</v>
      </c>
      <c r="C154" s="28"/>
      <c r="D154" s="29"/>
      <c r="E154" s="30"/>
      <c r="F154" s="48">
        <f>D154*E154</f>
        <v>0</v>
      </c>
      <c r="G154" s="49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7"/>
        <v>0</v>
      </c>
      <c r="T154" s="231">
        <f t="shared" si="8"/>
        <v>0</v>
      </c>
      <c r="U154" s="225">
        <f t="shared" si="9"/>
        <v>0</v>
      </c>
      <c r="V154" s="225">
        <f t="shared" si="10"/>
        <v>0</v>
      </c>
      <c r="W154" s="231">
        <f t="shared" si="11"/>
        <v>0</v>
      </c>
      <c r="X154" s="231"/>
    </row>
    <row r="155" spans="1:24" hidden="1" x14ac:dyDescent="0.25">
      <c r="A155" s="153" t="s">
        <v>238</v>
      </c>
      <c r="B155" s="106" t="s">
        <v>301</v>
      </c>
      <c r="C155" s="28"/>
      <c r="D155" s="29"/>
      <c r="E155" s="30"/>
      <c r="F155" s="48">
        <f>D155*E155</f>
        <v>0</v>
      </c>
      <c r="G155" s="49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7"/>
        <v>0</v>
      </c>
      <c r="T155" s="231">
        <f t="shared" si="8"/>
        <v>0</v>
      </c>
      <c r="U155" s="225">
        <f t="shared" si="9"/>
        <v>0</v>
      </c>
      <c r="V155" s="225">
        <f t="shared" si="10"/>
        <v>0</v>
      </c>
      <c r="W155" s="231">
        <f t="shared" si="11"/>
        <v>0</v>
      </c>
      <c r="X155" s="231"/>
    </row>
    <row r="156" spans="1:24" hidden="1" x14ac:dyDescent="0.25">
      <c r="A156" s="153" t="s">
        <v>239</v>
      </c>
      <c r="B156" s="106" t="s">
        <v>302</v>
      </c>
      <c r="C156" s="28"/>
      <c r="D156" s="29"/>
      <c r="E156" s="30"/>
      <c r="F156" s="48">
        <f>D156*E156</f>
        <v>0</v>
      </c>
      <c r="G156" s="49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7"/>
        <v>0</v>
      </c>
      <c r="T156" s="231">
        <f t="shared" si="8"/>
        <v>0</v>
      </c>
      <c r="U156" s="225">
        <f t="shared" si="9"/>
        <v>0</v>
      </c>
      <c r="V156" s="225">
        <f t="shared" si="10"/>
        <v>0</v>
      </c>
      <c r="W156" s="231">
        <f t="shared" si="11"/>
        <v>0</v>
      </c>
      <c r="X156" s="231"/>
    </row>
    <row r="157" spans="1:24" hidden="1" x14ac:dyDescent="0.25">
      <c r="A157" s="220" t="s">
        <v>103</v>
      </c>
      <c r="B157" s="221" t="s">
        <v>296</v>
      </c>
      <c r="C157" s="217"/>
      <c r="D157" s="218"/>
      <c r="E157" s="219"/>
      <c r="F157" s="208">
        <f>SUM(F158:F162)</f>
        <v>0</v>
      </c>
      <c r="G157" s="209">
        <f>SUM(G158:G162)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39">
        <f t="shared" si="7"/>
        <v>0</v>
      </c>
      <c r="T157" s="240">
        <f t="shared" si="8"/>
        <v>0</v>
      </c>
      <c r="U157" s="239">
        <f t="shared" si="9"/>
        <v>0</v>
      </c>
      <c r="V157" s="239">
        <f t="shared" si="10"/>
        <v>0</v>
      </c>
      <c r="W157" s="240">
        <f t="shared" si="11"/>
        <v>0</v>
      </c>
      <c r="X157" s="240"/>
    </row>
    <row r="158" spans="1:24" hidden="1" x14ac:dyDescent="0.25">
      <c r="A158" s="148" t="s">
        <v>240</v>
      </c>
      <c r="B158" s="106" t="s">
        <v>297</v>
      </c>
      <c r="C158" s="28"/>
      <c r="D158" s="29"/>
      <c r="E158" s="30"/>
      <c r="F158" s="48">
        <f>D158*E158</f>
        <v>0</v>
      </c>
      <c r="G158" s="49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7"/>
        <v>0</v>
      </c>
      <c r="T158" s="231">
        <f t="shared" si="8"/>
        <v>0</v>
      </c>
      <c r="U158" s="225">
        <f t="shared" si="9"/>
        <v>0</v>
      </c>
      <c r="V158" s="225">
        <f t="shared" si="10"/>
        <v>0</v>
      </c>
      <c r="W158" s="231">
        <f t="shared" si="11"/>
        <v>0</v>
      </c>
      <c r="X158" s="231"/>
    </row>
    <row r="159" spans="1:24" hidden="1" x14ac:dyDescent="0.25">
      <c r="A159" s="148" t="s">
        <v>241</v>
      </c>
      <c r="B159" s="106" t="s">
        <v>303</v>
      </c>
      <c r="C159" s="28"/>
      <c r="D159" s="29"/>
      <c r="E159" s="30"/>
      <c r="F159" s="48">
        <f>D159*E159</f>
        <v>0</v>
      </c>
      <c r="G159" s="49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7"/>
        <v>0</v>
      </c>
      <c r="T159" s="231">
        <f t="shared" si="8"/>
        <v>0</v>
      </c>
      <c r="U159" s="225">
        <f t="shared" si="9"/>
        <v>0</v>
      </c>
      <c r="V159" s="225">
        <f t="shared" si="10"/>
        <v>0</v>
      </c>
      <c r="W159" s="231">
        <f t="shared" si="11"/>
        <v>0</v>
      </c>
      <c r="X159" s="231"/>
    </row>
    <row r="160" spans="1:24" hidden="1" x14ac:dyDescent="0.25">
      <c r="A160" s="148" t="s">
        <v>242</v>
      </c>
      <c r="B160" s="106" t="s">
        <v>304</v>
      </c>
      <c r="C160" s="28"/>
      <c r="D160" s="29"/>
      <c r="E160" s="30"/>
      <c r="F160" s="48">
        <f>D160*E160</f>
        <v>0</v>
      </c>
      <c r="G160" s="49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7"/>
        <v>0</v>
      </c>
      <c r="T160" s="231">
        <f t="shared" si="8"/>
        <v>0</v>
      </c>
      <c r="U160" s="225">
        <f t="shared" si="9"/>
        <v>0</v>
      </c>
      <c r="V160" s="225">
        <f t="shared" si="10"/>
        <v>0</v>
      </c>
      <c r="W160" s="231">
        <f t="shared" si="11"/>
        <v>0</v>
      </c>
      <c r="X160" s="231"/>
    </row>
    <row r="161" spans="1:24" hidden="1" x14ac:dyDescent="0.25">
      <c r="A161" s="148" t="s">
        <v>243</v>
      </c>
      <c r="B161" s="106" t="s">
        <v>305</v>
      </c>
      <c r="C161" s="28"/>
      <c r="D161" s="29"/>
      <c r="E161" s="30"/>
      <c r="F161" s="48">
        <f>D161*E161</f>
        <v>0</v>
      </c>
      <c r="G161" s="49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7"/>
        <v>0</v>
      </c>
      <c r="T161" s="231">
        <f t="shared" si="8"/>
        <v>0</v>
      </c>
      <c r="U161" s="225">
        <f t="shared" si="9"/>
        <v>0</v>
      </c>
      <c r="V161" s="225">
        <f t="shared" si="10"/>
        <v>0</v>
      </c>
      <c r="W161" s="231">
        <f t="shared" si="11"/>
        <v>0</v>
      </c>
      <c r="X161" s="231"/>
    </row>
    <row r="162" spans="1:24" hidden="1" x14ac:dyDescent="0.25">
      <c r="A162" s="148" t="s">
        <v>244</v>
      </c>
      <c r="B162" s="106" t="s">
        <v>306</v>
      </c>
      <c r="C162" s="28"/>
      <c r="D162" s="29"/>
      <c r="E162" s="30"/>
      <c r="F162" s="48">
        <f>D162*E162</f>
        <v>0</v>
      </c>
      <c r="G162" s="49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7"/>
        <v>0</v>
      </c>
      <c r="T162" s="231">
        <f t="shared" si="8"/>
        <v>0</v>
      </c>
      <c r="U162" s="225">
        <f t="shared" si="9"/>
        <v>0</v>
      </c>
      <c r="V162" s="225">
        <f t="shared" si="10"/>
        <v>0</v>
      </c>
      <c r="W162" s="231">
        <f t="shared" si="11"/>
        <v>0</v>
      </c>
      <c r="X162" s="231"/>
    </row>
    <row r="163" spans="1:24" x14ac:dyDescent="0.25">
      <c r="B163" s="149"/>
      <c r="C163" s="31"/>
      <c r="D163" s="32"/>
      <c r="E163" s="33"/>
      <c r="F163" s="48"/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57"/>
      <c r="S163" s="225"/>
      <c r="T163" s="231"/>
      <c r="U163" s="225"/>
      <c r="V163" s="225"/>
      <c r="W163" s="231"/>
      <c r="X163" s="231"/>
    </row>
    <row r="164" spans="1:24" ht="13.8" thickBot="1" x14ac:dyDescent="0.3">
      <c r="A164" s="99"/>
      <c r="B164" s="146" t="s">
        <v>124</v>
      </c>
      <c r="C164" s="118"/>
      <c r="D164" s="122"/>
      <c r="E164" s="123"/>
      <c r="F164" s="50">
        <f>SUM(F103+F109+F115+F121+F127+F133+F139+F145+F151+F157)</f>
        <v>598250</v>
      </c>
      <c r="G164" s="50">
        <f>SUM(G103+G109+G115+G121+G127+G133+G139+G145+G151+G157)</f>
        <v>598250</v>
      </c>
      <c r="H164" s="244"/>
      <c r="I164" s="244"/>
      <c r="J164" s="244"/>
      <c r="K164" s="244"/>
      <c r="L164" s="244"/>
      <c r="M164" s="244"/>
      <c r="N164" s="244"/>
      <c r="O164" s="244"/>
      <c r="P164" s="244"/>
      <c r="Q164" s="253"/>
      <c r="R164" s="263"/>
      <c r="S164" s="237">
        <f t="shared" si="7"/>
        <v>-598250</v>
      </c>
      <c r="T164" s="238">
        <f t="shared" si="8"/>
        <v>-1</v>
      </c>
      <c r="U164" s="237">
        <f t="shared" si="9"/>
        <v>0</v>
      </c>
      <c r="V164" s="237">
        <f t="shared" si="10"/>
        <v>-598250</v>
      </c>
      <c r="W164" s="238">
        <f t="shared" si="11"/>
        <v>-1</v>
      </c>
      <c r="X164" s="238"/>
    </row>
    <row r="165" spans="1:24" ht="13.8" thickTop="1" x14ac:dyDescent="0.25">
      <c r="C165" s="80"/>
      <c r="D165" s="71"/>
      <c r="E165" s="72"/>
      <c r="G165" s="48"/>
      <c r="H165" s="245"/>
      <c r="I165" s="245"/>
      <c r="J165" s="245"/>
      <c r="K165" s="245"/>
      <c r="L165" s="245"/>
      <c r="M165" s="245"/>
      <c r="N165" s="245"/>
      <c r="O165" s="245"/>
      <c r="P165" s="245"/>
      <c r="Q165" s="254"/>
      <c r="R165" s="261"/>
      <c r="S165" s="225"/>
      <c r="T165" s="231"/>
      <c r="U165" s="225"/>
      <c r="V165" s="225"/>
      <c r="W165" s="231"/>
      <c r="X165" s="231"/>
    </row>
    <row r="166" spans="1:24" x14ac:dyDescent="0.25">
      <c r="A166" s="125">
        <v>3</v>
      </c>
      <c r="B166" s="126" t="s">
        <v>127</v>
      </c>
      <c r="C166" s="130"/>
      <c r="D166" s="129"/>
      <c r="E166" s="131"/>
      <c r="F166" s="131"/>
      <c r="G166" s="147"/>
      <c r="H166" s="241"/>
      <c r="I166" s="241"/>
      <c r="J166" s="241"/>
      <c r="K166" s="241"/>
      <c r="L166" s="241"/>
      <c r="M166" s="241"/>
      <c r="N166" s="241"/>
      <c r="O166" s="241"/>
      <c r="P166" s="241"/>
      <c r="Q166" s="252"/>
      <c r="R166" s="260"/>
      <c r="S166" s="230"/>
      <c r="T166" s="232"/>
      <c r="U166" s="230"/>
      <c r="V166" s="230"/>
      <c r="W166" s="232"/>
      <c r="X166" s="232"/>
    </row>
    <row r="167" spans="1:24" hidden="1" x14ac:dyDescent="0.25">
      <c r="A167" s="157" t="s">
        <v>132</v>
      </c>
      <c r="B167" s="140" t="s">
        <v>110</v>
      </c>
      <c r="C167" s="21"/>
      <c r="D167" s="25"/>
      <c r="E167" s="18"/>
      <c r="F167" s="3">
        <f>D167*E167</f>
        <v>0</v>
      </c>
      <c r="G167" s="51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7"/>
        <v>0</v>
      </c>
      <c r="T167" s="231">
        <f t="shared" si="8"/>
        <v>0</v>
      </c>
      <c r="U167" s="225">
        <f t="shared" si="9"/>
        <v>0</v>
      </c>
      <c r="V167" s="225">
        <f t="shared" si="10"/>
        <v>0</v>
      </c>
      <c r="W167" s="231">
        <f t="shared" si="11"/>
        <v>0</v>
      </c>
      <c r="X167" s="231"/>
    </row>
    <row r="168" spans="1:24" hidden="1" x14ac:dyDescent="0.25">
      <c r="A168" s="157" t="s">
        <v>133</v>
      </c>
      <c r="B168" s="140" t="s">
        <v>48</v>
      </c>
      <c r="C168" s="21"/>
      <c r="D168" s="25"/>
      <c r="E168" s="18"/>
      <c r="F168" s="3">
        <f t="shared" ref="F168:F174" si="12">D168*E168</f>
        <v>0</v>
      </c>
      <c r="G168" s="51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7"/>
        <v>0</v>
      </c>
      <c r="T168" s="231">
        <f t="shared" si="8"/>
        <v>0</v>
      </c>
      <c r="U168" s="225">
        <f t="shared" si="9"/>
        <v>0</v>
      </c>
      <c r="V168" s="225">
        <f t="shared" si="10"/>
        <v>0</v>
      </c>
      <c r="W168" s="231">
        <f t="shared" si="11"/>
        <v>0</v>
      </c>
      <c r="X168" s="231"/>
    </row>
    <row r="169" spans="1:24" hidden="1" x14ac:dyDescent="0.25">
      <c r="A169" s="157" t="s">
        <v>134</v>
      </c>
      <c r="B169" s="140" t="s">
        <v>106</v>
      </c>
      <c r="C169" s="34"/>
      <c r="D169" s="35"/>
      <c r="E169" s="36"/>
      <c r="F169" s="3">
        <f t="shared" si="12"/>
        <v>0</v>
      </c>
      <c r="G169" s="51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7"/>
        <v>0</v>
      </c>
      <c r="T169" s="231">
        <f t="shared" si="8"/>
        <v>0</v>
      </c>
      <c r="U169" s="225">
        <f t="shared" si="9"/>
        <v>0</v>
      </c>
      <c r="V169" s="225">
        <f t="shared" si="10"/>
        <v>0</v>
      </c>
      <c r="W169" s="231">
        <f t="shared" si="11"/>
        <v>0</v>
      </c>
      <c r="X169" s="231"/>
    </row>
    <row r="170" spans="1:24" hidden="1" x14ac:dyDescent="0.25">
      <c r="A170" s="157" t="s">
        <v>135</v>
      </c>
      <c r="B170" s="140" t="s">
        <v>140</v>
      </c>
      <c r="C170" s="34"/>
      <c r="D170" s="35"/>
      <c r="E170" s="36"/>
      <c r="F170" s="3">
        <f t="shared" si="12"/>
        <v>0</v>
      </c>
      <c r="G170" s="51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7"/>
        <v>0</v>
      </c>
      <c r="T170" s="231">
        <f t="shared" si="8"/>
        <v>0</v>
      </c>
      <c r="U170" s="225">
        <f t="shared" si="9"/>
        <v>0</v>
      </c>
      <c r="V170" s="225">
        <f t="shared" si="10"/>
        <v>0</v>
      </c>
      <c r="W170" s="231">
        <f t="shared" si="11"/>
        <v>0</v>
      </c>
      <c r="X170" s="231"/>
    </row>
    <row r="171" spans="1:24" ht="15" hidden="1" customHeight="1" x14ac:dyDescent="0.25">
      <c r="A171" s="157" t="s">
        <v>136</v>
      </c>
      <c r="B171" s="140" t="s">
        <v>141</v>
      </c>
      <c r="C171" s="34"/>
      <c r="D171" s="35"/>
      <c r="E171" s="36"/>
      <c r="F171" s="3">
        <f t="shared" si="12"/>
        <v>0</v>
      </c>
      <c r="G171" s="51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7"/>
        <v>0</v>
      </c>
      <c r="T171" s="231">
        <f t="shared" si="8"/>
        <v>0</v>
      </c>
      <c r="U171" s="225">
        <f t="shared" si="9"/>
        <v>0</v>
      </c>
      <c r="V171" s="225">
        <f t="shared" si="10"/>
        <v>0</v>
      </c>
      <c r="W171" s="231">
        <f t="shared" si="11"/>
        <v>0</v>
      </c>
      <c r="X171" s="231"/>
    </row>
    <row r="172" spans="1:24" ht="15" customHeight="1" x14ac:dyDescent="0.25">
      <c r="A172" s="157" t="s">
        <v>137</v>
      </c>
      <c r="B172" s="140" t="s">
        <v>246</v>
      </c>
      <c r="C172" s="280" t="s">
        <v>436</v>
      </c>
      <c r="D172" s="21">
        <v>1</v>
      </c>
      <c r="E172" s="25">
        <v>10000</v>
      </c>
      <c r="F172" s="3">
        <f>D172*E172</f>
        <v>10000</v>
      </c>
      <c r="G172" s="51">
        <f>F172*C4</f>
        <v>10000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7"/>
        <v>-10000</v>
      </c>
      <c r="T172" s="231">
        <f t="shared" si="8"/>
        <v>-1</v>
      </c>
      <c r="U172" s="225">
        <f t="shared" si="9"/>
        <v>0</v>
      </c>
      <c r="V172" s="225">
        <f t="shared" si="10"/>
        <v>-10000</v>
      </c>
      <c r="W172" s="231">
        <f t="shared" si="11"/>
        <v>-1</v>
      </c>
      <c r="X172" s="231"/>
    </row>
    <row r="173" spans="1:24" x14ac:dyDescent="0.25">
      <c r="A173" s="157" t="s">
        <v>138</v>
      </c>
      <c r="B173" s="140" t="s">
        <v>139</v>
      </c>
      <c r="C173" s="280" t="s">
        <v>436</v>
      </c>
      <c r="D173" s="21">
        <v>1</v>
      </c>
      <c r="E173" s="25">
        <v>2000</v>
      </c>
      <c r="F173" s="3">
        <f t="shared" si="12"/>
        <v>2000</v>
      </c>
      <c r="G173" s="51">
        <f>F173*C4</f>
        <v>2000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7"/>
        <v>-2000</v>
      </c>
      <c r="T173" s="231">
        <f t="shared" si="8"/>
        <v>-1</v>
      </c>
      <c r="U173" s="225">
        <f t="shared" si="9"/>
        <v>0</v>
      </c>
      <c r="V173" s="225">
        <f t="shared" si="10"/>
        <v>-2000</v>
      </c>
      <c r="W173" s="231">
        <f t="shared" si="11"/>
        <v>-1</v>
      </c>
      <c r="X173" s="231"/>
    </row>
    <row r="174" spans="1:24" x14ac:dyDescent="0.25">
      <c r="A174" s="157" t="s">
        <v>245</v>
      </c>
      <c r="B174" s="140" t="s">
        <v>165</v>
      </c>
      <c r="C174" s="280" t="s">
        <v>436</v>
      </c>
      <c r="D174" s="21">
        <v>1</v>
      </c>
      <c r="E174" s="25">
        <v>7500</v>
      </c>
      <c r="F174" s="3">
        <f t="shared" si="12"/>
        <v>7500</v>
      </c>
      <c r="G174" s="51">
        <f>F174*C4</f>
        <v>7500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7"/>
        <v>-7500</v>
      </c>
      <c r="T174" s="231">
        <f t="shared" si="8"/>
        <v>-1</v>
      </c>
      <c r="U174" s="225">
        <f t="shared" si="9"/>
        <v>0</v>
      </c>
      <c r="V174" s="225">
        <f t="shared" si="10"/>
        <v>-7500</v>
      </c>
      <c r="W174" s="231">
        <f t="shared" si="11"/>
        <v>-1</v>
      </c>
      <c r="X174" s="231"/>
    </row>
    <row r="175" spans="1:24" x14ac:dyDescent="0.25">
      <c r="B175" s="109"/>
      <c r="C175" s="80"/>
      <c r="D175" s="71"/>
      <c r="E175" s="72"/>
      <c r="G175" s="48"/>
      <c r="H175" s="245"/>
      <c r="I175" s="245"/>
      <c r="J175" s="245"/>
      <c r="K175" s="245"/>
      <c r="L175" s="245"/>
      <c r="M175" s="245"/>
      <c r="N175" s="245"/>
      <c r="O175" s="245"/>
      <c r="P175" s="245"/>
      <c r="Q175" s="254"/>
      <c r="R175" s="261"/>
      <c r="S175" s="225"/>
      <c r="T175" s="231"/>
      <c r="U175" s="225"/>
      <c r="V175" s="225"/>
      <c r="W175" s="231"/>
      <c r="X175" s="231"/>
    </row>
    <row r="176" spans="1:24" ht="13.8" thickBot="1" x14ac:dyDescent="0.3">
      <c r="A176" s="99"/>
      <c r="B176" s="146" t="s">
        <v>108</v>
      </c>
      <c r="C176" s="118"/>
      <c r="D176" s="122"/>
      <c r="E176" s="123"/>
      <c r="F176" s="50">
        <f>SUM(F167:F174)</f>
        <v>19500</v>
      </c>
      <c r="G176" s="50">
        <f>SUM(G167:G174)</f>
        <v>19500</v>
      </c>
      <c r="H176" s="244"/>
      <c r="I176" s="244"/>
      <c r="J176" s="244"/>
      <c r="K176" s="244"/>
      <c r="L176" s="244"/>
      <c r="M176" s="244"/>
      <c r="N176" s="244"/>
      <c r="O176" s="244"/>
      <c r="P176" s="244"/>
      <c r="Q176" s="253"/>
      <c r="R176" s="263"/>
      <c r="S176" s="237">
        <f t="shared" si="7"/>
        <v>-19500</v>
      </c>
      <c r="T176" s="238">
        <f t="shared" si="8"/>
        <v>-1</v>
      </c>
      <c r="U176" s="237">
        <f t="shared" si="9"/>
        <v>0</v>
      </c>
      <c r="V176" s="237">
        <f t="shared" si="10"/>
        <v>-19500</v>
      </c>
      <c r="W176" s="238">
        <f t="shared" si="11"/>
        <v>-1</v>
      </c>
      <c r="X176" s="238"/>
    </row>
    <row r="177" spans="1:24" ht="13.8" thickTop="1" x14ac:dyDescent="0.25">
      <c r="B177" s="77"/>
      <c r="C177" s="162"/>
      <c r="D177" s="161"/>
      <c r="E177" s="74"/>
      <c r="F177" s="48"/>
      <c r="G177" s="1"/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57"/>
      <c r="S177" s="225"/>
      <c r="T177" s="231"/>
      <c r="U177" s="225"/>
      <c r="V177" s="225"/>
      <c r="W177" s="231"/>
      <c r="X177" s="231"/>
    </row>
    <row r="178" spans="1:24" x14ac:dyDescent="0.25">
      <c r="A178" s="125">
        <v>4</v>
      </c>
      <c r="B178" s="126" t="s">
        <v>107</v>
      </c>
      <c r="C178" s="130"/>
      <c r="D178" s="129"/>
      <c r="E178" s="131"/>
      <c r="F178" s="131"/>
      <c r="G178" s="147"/>
      <c r="H178" s="241"/>
      <c r="I178" s="241"/>
      <c r="J178" s="241"/>
      <c r="K178" s="241"/>
      <c r="L178" s="241"/>
      <c r="M178" s="241"/>
      <c r="N178" s="241"/>
      <c r="O178" s="241"/>
      <c r="P178" s="241"/>
      <c r="Q178" s="252"/>
      <c r="R178" s="260"/>
      <c r="S178" s="230"/>
      <c r="T178" s="232"/>
      <c r="U178" s="230"/>
      <c r="V178" s="230"/>
      <c r="W178" s="232"/>
      <c r="X178" s="232"/>
    </row>
    <row r="179" spans="1:24" hidden="1" x14ac:dyDescent="0.25">
      <c r="A179" s="70" t="s">
        <v>19</v>
      </c>
      <c r="B179" s="77"/>
      <c r="C179" s="162"/>
      <c r="D179" s="161"/>
      <c r="E179" s="74"/>
      <c r="F179" s="48"/>
      <c r="G179" s="1"/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57"/>
      <c r="S179" s="225"/>
      <c r="T179" s="231"/>
      <c r="U179" s="225"/>
      <c r="V179" s="225"/>
      <c r="W179" s="231"/>
      <c r="X179" s="231"/>
    </row>
    <row r="180" spans="1:24" hidden="1" x14ac:dyDescent="0.25">
      <c r="A180" s="77" t="s">
        <v>142</v>
      </c>
      <c r="B180" s="163" t="s">
        <v>44</v>
      </c>
      <c r="C180" s="21"/>
      <c r="D180" s="25"/>
      <c r="E180" s="18"/>
      <c r="F180" s="48">
        <f>D180*E180</f>
        <v>0</v>
      </c>
      <c r="G180" s="1">
        <f>F180*C4</f>
        <v>0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7"/>
        <v>0</v>
      </c>
      <c r="T180" s="231">
        <f t="shared" si="8"/>
        <v>0</v>
      </c>
      <c r="U180" s="225">
        <f t="shared" si="9"/>
        <v>0</v>
      </c>
      <c r="V180" s="225">
        <f t="shared" si="10"/>
        <v>0</v>
      </c>
      <c r="W180" s="231">
        <f t="shared" si="11"/>
        <v>0</v>
      </c>
      <c r="X180" s="231"/>
    </row>
    <row r="181" spans="1:24" hidden="1" x14ac:dyDescent="0.25">
      <c r="A181" s="77" t="s">
        <v>143</v>
      </c>
      <c r="B181" s="163" t="s">
        <v>45</v>
      </c>
      <c r="C181" s="21"/>
      <c r="D181" s="25"/>
      <c r="E181" s="18"/>
      <c r="F181" s="48">
        <f>D181*E181</f>
        <v>0</v>
      </c>
      <c r="G181" s="1">
        <f>F181*C4</f>
        <v>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7"/>
        <v>0</v>
      </c>
      <c r="T181" s="231">
        <f t="shared" si="8"/>
        <v>0</v>
      </c>
      <c r="U181" s="225">
        <f t="shared" si="9"/>
        <v>0</v>
      </c>
      <c r="V181" s="225">
        <f t="shared" si="10"/>
        <v>0</v>
      </c>
      <c r="W181" s="231">
        <f t="shared" si="11"/>
        <v>0</v>
      </c>
      <c r="X181" s="231"/>
    </row>
    <row r="182" spans="1:24" hidden="1" x14ac:dyDescent="0.25">
      <c r="A182" s="70" t="s">
        <v>7</v>
      </c>
      <c r="B182" s="137"/>
      <c r="C182" s="22"/>
      <c r="D182" s="44"/>
      <c r="E182" s="14"/>
      <c r="F182" s="48"/>
      <c r="G182" s="1"/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57"/>
      <c r="S182" s="225"/>
      <c r="T182" s="231"/>
      <c r="U182" s="225"/>
      <c r="V182" s="225"/>
      <c r="W182" s="231"/>
      <c r="X182" s="231"/>
    </row>
    <row r="183" spans="1:24" hidden="1" x14ac:dyDescent="0.25">
      <c r="A183" s="77" t="s">
        <v>144</v>
      </c>
      <c r="B183" s="163" t="s">
        <v>46</v>
      </c>
      <c r="C183" s="35"/>
      <c r="D183" s="36"/>
      <c r="E183" s="39"/>
      <c r="F183" s="48">
        <f>D183*E183</f>
        <v>0</v>
      </c>
      <c r="G183" s="49">
        <f>F183*C4</f>
        <v>0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7"/>
        <v>0</v>
      </c>
      <c r="T183" s="231">
        <f t="shared" si="8"/>
        <v>0</v>
      </c>
      <c r="U183" s="225">
        <f t="shared" si="9"/>
        <v>0</v>
      </c>
      <c r="V183" s="225">
        <f t="shared" si="10"/>
        <v>0</v>
      </c>
      <c r="W183" s="231">
        <f t="shared" si="11"/>
        <v>0</v>
      </c>
      <c r="X183" s="231"/>
    </row>
    <row r="184" spans="1:24" hidden="1" x14ac:dyDescent="0.25">
      <c r="A184" s="77" t="s">
        <v>145</v>
      </c>
      <c r="B184" s="137" t="s">
        <v>47</v>
      </c>
      <c r="C184" s="35"/>
      <c r="D184" s="36"/>
      <c r="E184" s="39"/>
      <c r="F184" s="48">
        <f>D184*E184</f>
        <v>0</v>
      </c>
      <c r="G184" s="49">
        <f>F184*C4</f>
        <v>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7"/>
        <v>0</v>
      </c>
      <c r="T184" s="231">
        <f t="shared" si="8"/>
        <v>0</v>
      </c>
      <c r="U184" s="225">
        <f t="shared" si="9"/>
        <v>0</v>
      </c>
      <c r="V184" s="225">
        <f t="shared" si="10"/>
        <v>0</v>
      </c>
      <c r="W184" s="231">
        <f t="shared" si="11"/>
        <v>0</v>
      </c>
      <c r="X184" s="231"/>
    </row>
    <row r="185" spans="1:24" x14ac:dyDescent="0.25">
      <c r="A185" s="70" t="s">
        <v>8</v>
      </c>
      <c r="B185" s="137"/>
      <c r="C185" s="52"/>
      <c r="D185" s="23"/>
      <c r="E185" s="2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hidden="1" x14ac:dyDescent="0.25">
      <c r="A186" s="77" t="s">
        <v>150</v>
      </c>
      <c r="B186" s="140" t="s">
        <v>181</v>
      </c>
      <c r="C186" s="35"/>
      <c r="D186" s="36"/>
      <c r="E186" s="39"/>
      <c r="F186" s="48">
        <f>D186*E186</f>
        <v>0</v>
      </c>
      <c r="G186" s="1">
        <f>F186*C4</f>
        <v>0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7"/>
        <v>0</v>
      </c>
      <c r="T186" s="231">
        <f t="shared" si="8"/>
        <v>0</v>
      </c>
      <c r="U186" s="225">
        <f t="shared" si="9"/>
        <v>0</v>
      </c>
      <c r="V186" s="225">
        <f t="shared" si="10"/>
        <v>0</v>
      </c>
      <c r="W186" s="231">
        <f t="shared" si="11"/>
        <v>0</v>
      </c>
      <c r="X186" s="231"/>
    </row>
    <row r="187" spans="1:24" hidden="1" x14ac:dyDescent="0.25">
      <c r="A187" s="77" t="s">
        <v>146</v>
      </c>
      <c r="B187" s="149" t="s">
        <v>50</v>
      </c>
      <c r="C187" s="35"/>
      <c r="D187" s="36"/>
      <c r="E187" s="39"/>
      <c r="F187" s="48">
        <f>D187*E187</f>
        <v>0</v>
      </c>
      <c r="G187" s="1">
        <f>F187*C4</f>
        <v>0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7"/>
        <v>0</v>
      </c>
      <c r="T187" s="231">
        <f t="shared" si="8"/>
        <v>0</v>
      </c>
      <c r="U187" s="225">
        <f t="shared" si="9"/>
        <v>0</v>
      </c>
      <c r="V187" s="225">
        <f t="shared" si="10"/>
        <v>0</v>
      </c>
      <c r="W187" s="231">
        <f t="shared" si="11"/>
        <v>0</v>
      </c>
      <c r="X187" s="231"/>
    </row>
    <row r="188" spans="1:24" hidden="1" x14ac:dyDescent="0.25">
      <c r="A188" s="77" t="s">
        <v>147</v>
      </c>
      <c r="B188" s="149" t="s">
        <v>51</v>
      </c>
      <c r="C188" s="35"/>
      <c r="D188" s="36"/>
      <c r="E188" s="37"/>
      <c r="F188" s="48">
        <f>D188*E188</f>
        <v>0</v>
      </c>
      <c r="G188" s="1">
        <f>F188*C4</f>
        <v>0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7"/>
        <v>0</v>
      </c>
      <c r="T188" s="231">
        <f t="shared" si="8"/>
        <v>0</v>
      </c>
      <c r="U188" s="225">
        <f t="shared" si="9"/>
        <v>0</v>
      </c>
      <c r="V188" s="225">
        <f t="shared" si="10"/>
        <v>0</v>
      </c>
      <c r="W188" s="231">
        <f t="shared" si="11"/>
        <v>0</v>
      </c>
      <c r="X188" s="231"/>
    </row>
    <row r="189" spans="1:24" x14ac:dyDescent="0.25">
      <c r="A189" s="77" t="s">
        <v>148</v>
      </c>
      <c r="B189" s="149" t="s">
        <v>125</v>
      </c>
      <c r="C189" s="21" t="s">
        <v>688</v>
      </c>
      <c r="D189" s="25">
        <v>12</v>
      </c>
      <c r="E189" s="18">
        <v>750</v>
      </c>
      <c r="F189" s="48">
        <f>D189*E189</f>
        <v>9000</v>
      </c>
      <c r="G189" s="1">
        <f>F189*C4</f>
        <v>9000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7"/>
        <v>-9000</v>
      </c>
      <c r="T189" s="231">
        <f t="shared" si="8"/>
        <v>-1</v>
      </c>
      <c r="U189" s="225">
        <f t="shared" si="9"/>
        <v>0</v>
      </c>
      <c r="V189" s="225">
        <f t="shared" si="10"/>
        <v>-9000</v>
      </c>
      <c r="W189" s="231">
        <f t="shared" si="11"/>
        <v>-1</v>
      </c>
      <c r="X189" s="231"/>
    </row>
    <row r="190" spans="1:24" hidden="1" x14ac:dyDescent="0.25">
      <c r="A190" s="77" t="s">
        <v>149</v>
      </c>
      <c r="B190" s="149" t="s">
        <v>126</v>
      </c>
      <c r="C190" s="35"/>
      <c r="D190" s="36"/>
      <c r="E190" s="38"/>
      <c r="F190" s="48">
        <f>D190*E190</f>
        <v>0</v>
      </c>
      <c r="G190" s="1">
        <f>F190*C4</f>
        <v>0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7"/>
        <v>0</v>
      </c>
      <c r="T190" s="231">
        <f t="shared" si="8"/>
        <v>0</v>
      </c>
      <c r="U190" s="225">
        <f t="shared" si="9"/>
        <v>0</v>
      </c>
      <c r="V190" s="225">
        <f t="shared" si="10"/>
        <v>0</v>
      </c>
      <c r="W190" s="231">
        <f t="shared" si="11"/>
        <v>0</v>
      </c>
      <c r="X190" s="231"/>
    </row>
    <row r="191" spans="1:24" x14ac:dyDescent="0.25">
      <c r="C191" s="5"/>
      <c r="D191" s="5"/>
      <c r="E191" s="5"/>
      <c r="F191" s="168"/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57"/>
      <c r="S191" s="225"/>
      <c r="T191" s="231"/>
      <c r="U191" s="225"/>
      <c r="V191" s="225"/>
      <c r="W191" s="231"/>
      <c r="X191" s="231"/>
    </row>
    <row r="192" spans="1:24" hidden="1" x14ac:dyDescent="0.25">
      <c r="A192" s="200"/>
      <c r="B192" s="201" t="s">
        <v>188</v>
      </c>
      <c r="C192" s="201"/>
      <c r="D192" s="201"/>
      <c r="E192" s="201"/>
      <c r="F192" s="202">
        <f>SUM(F180:F182)</f>
        <v>0</v>
      </c>
      <c r="G192" s="201">
        <f>SUM(G180:G182)</f>
        <v>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>
        <f t="shared" si="7"/>
        <v>0</v>
      </c>
      <c r="T192" s="231">
        <f t="shared" si="8"/>
        <v>0</v>
      </c>
      <c r="U192" s="225">
        <f t="shared" si="9"/>
        <v>0</v>
      </c>
      <c r="V192" s="225">
        <f t="shared" si="10"/>
        <v>0</v>
      </c>
      <c r="W192" s="231">
        <f t="shared" si="11"/>
        <v>0</v>
      </c>
      <c r="X192" s="231"/>
    </row>
    <row r="193" spans="1:24" hidden="1" x14ac:dyDescent="0.25">
      <c r="A193" s="200"/>
      <c r="B193" s="201" t="s">
        <v>7</v>
      </c>
      <c r="C193" s="201"/>
      <c r="D193" s="201"/>
      <c r="E193" s="201"/>
      <c r="F193" s="202">
        <f>SUM(F183:F185)</f>
        <v>0</v>
      </c>
      <c r="G193" s="201">
        <f>SUM(G183:G185)</f>
        <v>0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57"/>
      <c r="S193" s="225">
        <f t="shared" si="7"/>
        <v>0</v>
      </c>
      <c r="T193" s="231">
        <f t="shared" si="8"/>
        <v>0</v>
      </c>
      <c r="U193" s="225">
        <f t="shared" si="9"/>
        <v>0</v>
      </c>
      <c r="V193" s="225">
        <f t="shared" si="10"/>
        <v>0</v>
      </c>
      <c r="W193" s="231">
        <f t="shared" si="11"/>
        <v>0</v>
      </c>
      <c r="X193" s="231"/>
    </row>
    <row r="194" spans="1:24" hidden="1" x14ac:dyDescent="0.25">
      <c r="A194" s="200"/>
      <c r="B194" s="201" t="s">
        <v>8</v>
      </c>
      <c r="C194" s="201"/>
      <c r="D194" s="201"/>
      <c r="E194" s="201"/>
      <c r="F194" s="202">
        <f>SUM(F186:F191)</f>
        <v>9000</v>
      </c>
      <c r="G194" s="201">
        <f>SUM(G186:G191)</f>
        <v>9000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>
        <f t="shared" si="7"/>
        <v>-9000</v>
      </c>
      <c r="T194" s="231">
        <f t="shared" si="8"/>
        <v>-1</v>
      </c>
      <c r="U194" s="225">
        <f t="shared" si="9"/>
        <v>0</v>
      </c>
      <c r="V194" s="225">
        <f t="shared" si="10"/>
        <v>-9000</v>
      </c>
      <c r="W194" s="231">
        <f t="shared" si="11"/>
        <v>-1</v>
      </c>
      <c r="X194" s="231"/>
    </row>
    <row r="195" spans="1:24" ht="13.8" thickBot="1" x14ac:dyDescent="0.3">
      <c r="A195" s="99"/>
      <c r="B195" s="146" t="s">
        <v>109</v>
      </c>
      <c r="C195" s="118"/>
      <c r="D195" s="122"/>
      <c r="E195" s="123"/>
      <c r="F195" s="50">
        <f>SUM(F180+F181+F183+F184+F186+F187+F188+F189+F190)</f>
        <v>9000</v>
      </c>
      <c r="G195" s="50">
        <f>SUM(G180+G181+G183+G184+G186+G188+G187+G189+G190)</f>
        <v>9000</v>
      </c>
      <c r="H195" s="244"/>
      <c r="I195" s="244"/>
      <c r="J195" s="244"/>
      <c r="K195" s="244"/>
      <c r="L195" s="244"/>
      <c r="M195" s="244"/>
      <c r="N195" s="244"/>
      <c r="O195" s="244"/>
      <c r="P195" s="244"/>
      <c r="Q195" s="253"/>
      <c r="R195" s="263"/>
      <c r="S195" s="237">
        <f t="shared" si="7"/>
        <v>-9000</v>
      </c>
      <c r="T195" s="238">
        <f t="shared" si="8"/>
        <v>-1</v>
      </c>
      <c r="U195" s="237">
        <f t="shared" si="9"/>
        <v>0</v>
      </c>
      <c r="V195" s="237">
        <f t="shared" si="10"/>
        <v>-9000</v>
      </c>
      <c r="W195" s="238">
        <f t="shared" si="11"/>
        <v>-1</v>
      </c>
      <c r="X195" s="238"/>
    </row>
    <row r="196" spans="1:24" ht="13.8" thickTop="1" x14ac:dyDescent="0.25">
      <c r="A196" s="99"/>
      <c r="B196" s="146"/>
      <c r="C196" s="118"/>
      <c r="D196" s="122"/>
      <c r="E196" s="123"/>
      <c r="F196" s="169"/>
      <c r="G196" s="169"/>
      <c r="H196" s="244"/>
      <c r="I196" s="244"/>
      <c r="J196" s="244"/>
      <c r="K196" s="244"/>
      <c r="L196" s="244"/>
      <c r="M196" s="244"/>
      <c r="N196" s="244"/>
      <c r="O196" s="244"/>
      <c r="P196" s="244"/>
      <c r="Q196" s="253"/>
      <c r="R196" s="259"/>
      <c r="S196" s="225"/>
      <c r="T196" s="231"/>
      <c r="U196" s="225"/>
      <c r="V196" s="225"/>
      <c r="W196" s="231"/>
      <c r="X196" s="231"/>
    </row>
    <row r="197" spans="1:24" x14ac:dyDescent="0.25">
      <c r="A197" s="125">
        <v>5</v>
      </c>
      <c r="B197" s="126" t="s">
        <v>111</v>
      </c>
      <c r="C197" s="130"/>
      <c r="D197" s="129"/>
      <c r="E197" s="131"/>
      <c r="F197" s="131"/>
      <c r="G197" s="147"/>
      <c r="H197" s="241"/>
      <c r="I197" s="241"/>
      <c r="J197" s="241"/>
      <c r="K197" s="241"/>
      <c r="L197" s="241"/>
      <c r="M197" s="241"/>
      <c r="N197" s="241"/>
      <c r="O197" s="241"/>
      <c r="P197" s="241"/>
      <c r="Q197" s="252"/>
      <c r="R197" s="260"/>
      <c r="S197" s="230"/>
      <c r="T197" s="232"/>
      <c r="U197" s="230"/>
      <c r="V197" s="230"/>
      <c r="W197" s="232"/>
      <c r="X197" s="232"/>
    </row>
    <row r="198" spans="1:24" x14ac:dyDescent="0.25">
      <c r="A198" s="77" t="s">
        <v>151</v>
      </c>
      <c r="B198" s="163" t="s">
        <v>11</v>
      </c>
      <c r="C198" s="21" t="s">
        <v>712</v>
      </c>
      <c r="D198" s="25">
        <v>2</v>
      </c>
      <c r="E198" s="18">
        <v>550</v>
      </c>
      <c r="F198" s="48">
        <f>D198*E198</f>
        <v>1100</v>
      </c>
      <c r="G198" s="49">
        <f>F198*C4</f>
        <v>1100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7"/>
        <v>-1100</v>
      </c>
      <c r="T198" s="231">
        <f t="shared" si="8"/>
        <v>-1</v>
      </c>
      <c r="U198" s="225">
        <f t="shared" si="9"/>
        <v>0</v>
      </c>
      <c r="V198" s="225">
        <f t="shared" si="10"/>
        <v>-1100</v>
      </c>
      <c r="W198" s="231">
        <f t="shared" si="11"/>
        <v>-1</v>
      </c>
      <c r="X198" s="231"/>
    </row>
    <row r="199" spans="1:24" x14ac:dyDescent="0.25">
      <c r="A199" s="77" t="s">
        <v>152</v>
      </c>
      <c r="B199" s="163" t="s">
        <v>12</v>
      </c>
      <c r="C199" s="21" t="s">
        <v>712</v>
      </c>
      <c r="D199" s="25">
        <v>2</v>
      </c>
      <c r="E199" s="18">
        <v>150</v>
      </c>
      <c r="F199" s="48">
        <f>D199*E199</f>
        <v>300</v>
      </c>
      <c r="G199" s="49">
        <f>F199*C4</f>
        <v>300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7"/>
        <v>-300</v>
      </c>
      <c r="T199" s="231">
        <f t="shared" si="8"/>
        <v>-1</v>
      </c>
      <c r="U199" s="225">
        <f t="shared" si="9"/>
        <v>0</v>
      </c>
      <c r="V199" s="225">
        <f t="shared" si="10"/>
        <v>-300</v>
      </c>
      <c r="W199" s="231">
        <f t="shared" si="11"/>
        <v>-1</v>
      </c>
      <c r="X199" s="231"/>
    </row>
    <row r="200" spans="1:24" x14ac:dyDescent="0.25">
      <c r="A200" s="77" t="s">
        <v>153</v>
      </c>
      <c r="B200" s="163" t="s">
        <v>13</v>
      </c>
      <c r="C200" s="21" t="s">
        <v>436</v>
      </c>
      <c r="D200" s="25">
        <v>1</v>
      </c>
      <c r="E200" s="18">
        <v>1000</v>
      </c>
      <c r="F200" s="48">
        <f>D200*E200</f>
        <v>1000</v>
      </c>
      <c r="G200" s="49">
        <f>F200*C4</f>
        <v>1000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62"/>
      <c r="S200" s="225">
        <f t="shared" si="7"/>
        <v>-1000</v>
      </c>
      <c r="T200" s="231">
        <f t="shared" si="8"/>
        <v>-1</v>
      </c>
      <c r="U200" s="225">
        <f t="shared" si="9"/>
        <v>0</v>
      </c>
      <c r="V200" s="225">
        <f t="shared" si="10"/>
        <v>-1000</v>
      </c>
      <c r="W200" s="231">
        <f t="shared" si="11"/>
        <v>-1</v>
      </c>
      <c r="X200" s="231"/>
    </row>
    <row r="201" spans="1:24" hidden="1" x14ac:dyDescent="0.25">
      <c r="A201" s="77" t="s">
        <v>154</v>
      </c>
      <c r="B201" s="163" t="s">
        <v>14</v>
      </c>
      <c r="C201" s="21"/>
      <c r="D201" s="25"/>
      <c r="E201" s="18"/>
      <c r="F201" s="48">
        <f>D201*E201</f>
        <v>0</v>
      </c>
      <c r="G201" s="49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7"/>
        <v>0</v>
      </c>
      <c r="T201" s="231">
        <f t="shared" si="8"/>
        <v>0</v>
      </c>
      <c r="U201" s="225">
        <f t="shared" si="9"/>
        <v>0</v>
      </c>
      <c r="V201" s="225">
        <f t="shared" si="10"/>
        <v>0</v>
      </c>
      <c r="W201" s="231">
        <f t="shared" si="11"/>
        <v>0</v>
      </c>
      <c r="X201" s="231"/>
    </row>
    <row r="202" spans="1:24" ht="39.6" x14ac:dyDescent="0.25">
      <c r="A202" s="77" t="s">
        <v>155</v>
      </c>
      <c r="B202" s="163" t="s">
        <v>56</v>
      </c>
      <c r="C202" s="21" t="s">
        <v>436</v>
      </c>
      <c r="D202" s="25">
        <v>1</v>
      </c>
      <c r="E202" s="18">
        <v>1000</v>
      </c>
      <c r="F202" s="48">
        <f>D202*E202</f>
        <v>1000</v>
      </c>
      <c r="G202" s="49">
        <f>F202*C4</f>
        <v>1000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7"/>
        <v>-1000</v>
      </c>
      <c r="T202" s="231">
        <f t="shared" si="8"/>
        <v>-1</v>
      </c>
      <c r="U202" s="225">
        <f t="shared" si="9"/>
        <v>0</v>
      </c>
      <c r="V202" s="225">
        <f t="shared" si="10"/>
        <v>-1000</v>
      </c>
      <c r="W202" s="231">
        <f t="shared" si="11"/>
        <v>-1</v>
      </c>
      <c r="X202" s="231"/>
    </row>
    <row r="203" spans="1:24" x14ac:dyDescent="0.25">
      <c r="B203" s="163"/>
      <c r="C203" s="6"/>
      <c r="D203" s="7"/>
      <c r="E203" s="8"/>
      <c r="F203" s="48"/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57"/>
      <c r="S203" s="225"/>
      <c r="T203" s="231"/>
      <c r="U203" s="225"/>
      <c r="V203" s="225"/>
      <c r="W203" s="231"/>
      <c r="X203" s="231"/>
    </row>
    <row r="204" spans="1:24" ht="13.8" thickBot="1" x14ac:dyDescent="0.3">
      <c r="A204" s="99"/>
      <c r="B204" s="146" t="s">
        <v>112</v>
      </c>
      <c r="C204" s="118"/>
      <c r="D204" s="122"/>
      <c r="E204" s="123"/>
      <c r="F204" s="50">
        <f>SUM(F198:F202)</f>
        <v>3400</v>
      </c>
      <c r="G204" s="50">
        <f>SUM(G198:G202)</f>
        <v>3400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53"/>
      <c r="R204" s="263"/>
      <c r="S204" s="237">
        <f t="shared" si="7"/>
        <v>-3400</v>
      </c>
      <c r="T204" s="238">
        <f t="shared" si="8"/>
        <v>-1</v>
      </c>
      <c r="U204" s="237">
        <f t="shared" si="9"/>
        <v>0</v>
      </c>
      <c r="V204" s="237">
        <f t="shared" si="10"/>
        <v>-3400</v>
      </c>
      <c r="W204" s="238">
        <f t="shared" si="11"/>
        <v>-1</v>
      </c>
      <c r="X204" s="238"/>
    </row>
    <row r="205" spans="1:24" ht="13.8" thickTop="1" x14ac:dyDescent="0.25">
      <c r="B205" s="163"/>
      <c r="F205" s="48"/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57"/>
      <c r="S205" s="225"/>
      <c r="T205" s="231"/>
      <c r="U205" s="225"/>
      <c r="V205" s="225"/>
      <c r="W205" s="231"/>
      <c r="X205" s="231"/>
    </row>
    <row r="206" spans="1:24" x14ac:dyDescent="0.25">
      <c r="A206" s="125">
        <v>6</v>
      </c>
      <c r="B206" s="126" t="s">
        <v>113</v>
      </c>
      <c r="C206" s="130"/>
      <c r="D206" s="129"/>
      <c r="E206" s="131"/>
      <c r="F206" s="131"/>
      <c r="G206" s="147"/>
      <c r="H206" s="241"/>
      <c r="I206" s="241"/>
      <c r="J206" s="241"/>
      <c r="K206" s="241"/>
      <c r="L206" s="241"/>
      <c r="M206" s="241"/>
      <c r="N206" s="241"/>
      <c r="O206" s="241"/>
      <c r="P206" s="241"/>
      <c r="Q206" s="252"/>
      <c r="R206" s="260"/>
      <c r="S206" s="230"/>
      <c r="T206" s="232"/>
      <c r="U206" s="230"/>
      <c r="V206" s="230"/>
      <c r="W206" s="232"/>
      <c r="X206" s="232"/>
    </row>
    <row r="207" spans="1:24" hidden="1" x14ac:dyDescent="0.25">
      <c r="A207" s="99" t="s">
        <v>114</v>
      </c>
      <c r="B207" s="99" t="s">
        <v>71</v>
      </c>
      <c r="C207" s="2"/>
      <c r="D207" s="142"/>
      <c r="E207" s="143"/>
      <c r="F207" s="3"/>
      <c r="G207" s="53"/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56"/>
      <c r="S207" s="225"/>
      <c r="T207" s="231"/>
      <c r="U207" s="225"/>
      <c r="V207" s="225"/>
      <c r="W207" s="231"/>
      <c r="X207" s="231"/>
    </row>
    <row r="208" spans="1:24" hidden="1" x14ac:dyDescent="0.25">
      <c r="A208" s="109" t="s">
        <v>115</v>
      </c>
      <c r="B208" s="170" t="s">
        <v>72</v>
      </c>
      <c r="C208" s="35"/>
      <c r="D208" s="36"/>
      <c r="E208" s="39"/>
      <c r="F208" s="3">
        <f>D208*E208</f>
        <v>0</v>
      </c>
      <c r="G208" s="53">
        <f>F208*C4</f>
        <v>0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62"/>
      <c r="S208" s="225">
        <f t="shared" si="7"/>
        <v>0</v>
      </c>
      <c r="T208" s="231">
        <f t="shared" si="8"/>
        <v>0</v>
      </c>
      <c r="U208" s="225">
        <f t="shared" si="9"/>
        <v>0</v>
      </c>
      <c r="V208" s="225">
        <f t="shared" si="10"/>
        <v>0</v>
      </c>
      <c r="W208" s="231">
        <f t="shared" si="11"/>
        <v>0</v>
      </c>
      <c r="X208" s="231"/>
    </row>
    <row r="209" spans="1:24" hidden="1" x14ac:dyDescent="0.25">
      <c r="A209" s="109" t="s">
        <v>116</v>
      </c>
      <c r="B209" s="170" t="s">
        <v>73</v>
      </c>
      <c r="C209" s="35"/>
      <c r="D209" s="36"/>
      <c r="E209" s="39"/>
      <c r="F209" s="3">
        <f>D209*E209</f>
        <v>0</v>
      </c>
      <c r="G209" s="53">
        <f>F209*C4</f>
        <v>0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7"/>
        <v>0</v>
      </c>
      <c r="T209" s="231">
        <f t="shared" si="8"/>
        <v>0</v>
      </c>
      <c r="U209" s="225">
        <f t="shared" si="9"/>
        <v>0</v>
      </c>
      <c r="V209" s="225">
        <f t="shared" si="10"/>
        <v>0</v>
      </c>
      <c r="W209" s="231">
        <f t="shared" si="11"/>
        <v>0</v>
      </c>
      <c r="X209" s="231"/>
    </row>
    <row r="210" spans="1:24" hidden="1" x14ac:dyDescent="0.25">
      <c r="A210" s="109" t="s">
        <v>117</v>
      </c>
      <c r="B210" s="170" t="s">
        <v>74</v>
      </c>
      <c r="C210" s="35"/>
      <c r="D210" s="36"/>
      <c r="E210" s="39"/>
      <c r="F210" s="3">
        <f>D210*E210</f>
        <v>0</v>
      </c>
      <c r="G210" s="53">
        <f>F210*C4</f>
        <v>0</v>
      </c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62"/>
      <c r="S210" s="225">
        <f t="shared" si="7"/>
        <v>0</v>
      </c>
      <c r="T210" s="231">
        <f t="shared" si="8"/>
        <v>0</v>
      </c>
      <c r="U210" s="225">
        <f t="shared" si="9"/>
        <v>0</v>
      </c>
      <c r="V210" s="225">
        <f t="shared" si="10"/>
        <v>0</v>
      </c>
      <c r="W210" s="231">
        <f t="shared" si="11"/>
        <v>0</v>
      </c>
      <c r="X210" s="231"/>
    </row>
    <row r="211" spans="1:24" hidden="1" x14ac:dyDescent="0.25">
      <c r="A211" s="109" t="s">
        <v>118</v>
      </c>
      <c r="B211" s="170" t="s">
        <v>75</v>
      </c>
      <c r="C211" s="35"/>
      <c r="D211" s="36"/>
      <c r="E211" s="39"/>
      <c r="F211" s="3">
        <f>D211*E211</f>
        <v>0</v>
      </c>
      <c r="G211" s="53">
        <f>F211*C4</f>
        <v>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>R211-F211</f>
        <v>0</v>
      </c>
      <c r="T211" s="231">
        <f>IF(F211=0,0,S211/F211)</f>
        <v>0</v>
      </c>
      <c r="U211" s="225">
        <f>R211*$C$4</f>
        <v>0</v>
      </c>
      <c r="V211" s="225">
        <f>U211-G211</f>
        <v>0</v>
      </c>
      <c r="W211" s="231">
        <f>IF(G211=0,0,V211/G211)</f>
        <v>0</v>
      </c>
      <c r="X211" s="231"/>
    </row>
    <row r="212" spans="1:24" hidden="1" x14ac:dyDescent="0.25">
      <c r="A212" s="99"/>
      <c r="B212" s="170"/>
      <c r="C212" s="40"/>
      <c r="D212" s="41"/>
      <c r="E212" s="42"/>
      <c r="F212" s="3"/>
      <c r="G212" s="53"/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56"/>
      <c r="S212" s="225"/>
      <c r="T212" s="231"/>
      <c r="U212" s="225"/>
      <c r="V212" s="225"/>
      <c r="W212" s="231"/>
      <c r="X212" s="231"/>
    </row>
    <row r="213" spans="1:24" ht="13.8" hidden="1" thickBot="1" x14ac:dyDescent="0.3">
      <c r="A213" s="99"/>
      <c r="B213" s="146" t="s">
        <v>76</v>
      </c>
      <c r="C213" s="172"/>
      <c r="D213" s="171"/>
      <c r="E213" s="173"/>
      <c r="F213" s="50">
        <f>SUM(F208:F211)</f>
        <v>0</v>
      </c>
      <c r="G213" s="50">
        <f>SUM(G208:G211)</f>
        <v>0</v>
      </c>
      <c r="H213" s="244"/>
      <c r="I213" s="244"/>
      <c r="J213" s="244"/>
      <c r="K213" s="244"/>
      <c r="L213" s="244"/>
      <c r="M213" s="244"/>
      <c r="N213" s="244"/>
      <c r="O213" s="244"/>
      <c r="P213" s="244"/>
      <c r="Q213" s="253"/>
      <c r="R213" s="263"/>
      <c r="S213" s="237">
        <f>R213-F213</f>
        <v>0</v>
      </c>
      <c r="T213" s="238">
        <f>IF(F213=0,0,S213/F213)</f>
        <v>0</v>
      </c>
      <c r="U213" s="237">
        <f>R213*$C$4</f>
        <v>0</v>
      </c>
      <c r="V213" s="237">
        <f>U213-G213</f>
        <v>0</v>
      </c>
      <c r="W213" s="238">
        <f>IF(G213=0,0,V213/G213)</f>
        <v>0</v>
      </c>
      <c r="X213" s="238"/>
    </row>
    <row r="214" spans="1:24" hidden="1" x14ac:dyDescent="0.25">
      <c r="B214" s="174"/>
      <c r="F214" s="175"/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57"/>
      <c r="S214" s="225"/>
      <c r="T214" s="231"/>
      <c r="U214" s="225"/>
      <c r="V214" s="225"/>
      <c r="W214" s="231"/>
      <c r="X214" s="231"/>
    </row>
    <row r="215" spans="1:24" x14ac:dyDescent="0.25">
      <c r="A215" s="99" t="s">
        <v>119</v>
      </c>
      <c r="B215" s="99" t="s">
        <v>193</v>
      </c>
      <c r="C215" s="2"/>
      <c r="D215" s="142"/>
      <c r="E215" s="143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ht="26.4" x14ac:dyDescent="0.25">
      <c r="A216" s="109" t="s">
        <v>120</v>
      </c>
      <c r="B216" s="170" t="s">
        <v>795</v>
      </c>
      <c r="C216" s="21" t="s">
        <v>436</v>
      </c>
      <c r="D216" s="25">
        <v>1</v>
      </c>
      <c r="E216" s="18">
        <f>2800+(350*2)+(110*2*3)+(70*2*2)+200</f>
        <v>4640</v>
      </c>
      <c r="F216" s="3">
        <f>D216*E216</f>
        <v>4640</v>
      </c>
      <c r="G216" s="53">
        <f>F216*C4</f>
        <v>4640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>R216-F216</f>
        <v>-4640</v>
      </c>
      <c r="T216" s="231">
        <f>IF(F216=0,0,S216/F216)</f>
        <v>-1</v>
      </c>
      <c r="U216" s="225">
        <f>R216*$C$4</f>
        <v>0</v>
      </c>
      <c r="V216" s="225">
        <f>U216-G216</f>
        <v>-4640</v>
      </c>
      <c r="W216" s="231">
        <f>IF(G216=0,0,V216/G216)</f>
        <v>-1</v>
      </c>
      <c r="X216" s="231"/>
    </row>
    <row r="217" spans="1:24" hidden="1" x14ac:dyDescent="0.25">
      <c r="A217" s="109" t="s">
        <v>121</v>
      </c>
      <c r="B217" s="170" t="s">
        <v>130</v>
      </c>
      <c r="C217" s="35"/>
      <c r="D217" s="36"/>
      <c r="E217" s="39"/>
      <c r="F217" s="3">
        <f>D217*E217</f>
        <v>0</v>
      </c>
      <c r="G217" s="53">
        <f>F217*C4</f>
        <v>0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>R217-F217</f>
        <v>0</v>
      </c>
      <c r="T217" s="231">
        <f>IF(F217=0,0,S217/F217)</f>
        <v>0</v>
      </c>
      <c r="U217" s="225">
        <f>R217*$C$4</f>
        <v>0</v>
      </c>
      <c r="V217" s="225">
        <f>U217-G217</f>
        <v>0</v>
      </c>
      <c r="W217" s="231">
        <f>IF(G217=0,0,V217/G217)</f>
        <v>0</v>
      </c>
      <c r="X217" s="231"/>
    </row>
    <row r="218" spans="1:24" hidden="1" x14ac:dyDescent="0.25">
      <c r="A218" s="109" t="s">
        <v>122</v>
      </c>
      <c r="B218" s="170" t="s">
        <v>128</v>
      </c>
      <c r="C218" s="35"/>
      <c r="D218" s="36"/>
      <c r="E218" s="39"/>
      <c r="F218" s="3">
        <f>D218*E218</f>
        <v>0</v>
      </c>
      <c r="G218" s="53">
        <f>F218*C4</f>
        <v>0</v>
      </c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62"/>
      <c r="S218" s="225">
        <f>R218-F218</f>
        <v>0</v>
      </c>
      <c r="T218" s="231">
        <f>IF(F218=0,0,S218/F218)</f>
        <v>0</v>
      </c>
      <c r="U218" s="225">
        <f>R218*$C$4</f>
        <v>0</v>
      </c>
      <c r="V218" s="225">
        <f>U218-G218</f>
        <v>0</v>
      </c>
      <c r="W218" s="231">
        <f>IF(G218=0,0,V218/G218)</f>
        <v>0</v>
      </c>
      <c r="X218" s="231"/>
    </row>
    <row r="219" spans="1:24" x14ac:dyDescent="0.25">
      <c r="A219" s="109" t="s">
        <v>123</v>
      </c>
      <c r="B219" s="170" t="s">
        <v>831</v>
      </c>
      <c r="C219" s="21" t="s">
        <v>436</v>
      </c>
      <c r="D219" s="25">
        <v>2</v>
      </c>
      <c r="E219" s="18">
        <v>910</v>
      </c>
      <c r="F219" s="3">
        <f>D219*E219</f>
        <v>1820</v>
      </c>
      <c r="G219" s="53">
        <f>F219*$C$4</f>
        <v>1820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>R219-F219</f>
        <v>-1820</v>
      </c>
      <c r="T219" s="231">
        <f>IF(F219=0,0,S219/F219)</f>
        <v>-1</v>
      </c>
      <c r="U219" s="225">
        <f>R219*$C$4</f>
        <v>0</v>
      </c>
      <c r="V219" s="225">
        <f>U219-G219</f>
        <v>-1820</v>
      </c>
      <c r="W219" s="231">
        <f>IF(G219=0,0,V219/G219)</f>
        <v>-1</v>
      </c>
      <c r="X219" s="231"/>
    </row>
    <row r="220" spans="1:24" x14ac:dyDescent="0.25">
      <c r="A220" s="109" t="s">
        <v>793</v>
      </c>
      <c r="B220" s="170" t="s">
        <v>832</v>
      </c>
      <c r="C220" s="335" t="s">
        <v>436</v>
      </c>
      <c r="D220" s="336">
        <v>1</v>
      </c>
      <c r="E220" s="337">
        <v>11500</v>
      </c>
      <c r="F220" s="3">
        <f>D220*E220</f>
        <v>11500</v>
      </c>
      <c r="G220" s="53">
        <f>F220*$C$4</f>
        <v>11500</v>
      </c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62"/>
      <c r="S220" s="225"/>
      <c r="T220" s="231"/>
      <c r="U220" s="225"/>
      <c r="V220" s="225"/>
      <c r="W220" s="231"/>
      <c r="X220" s="231"/>
    </row>
    <row r="221" spans="1:24" x14ac:dyDescent="0.25">
      <c r="A221" s="99"/>
      <c r="B221" s="170"/>
      <c r="C221" s="40"/>
      <c r="D221" s="41"/>
      <c r="E221" s="42"/>
      <c r="F221" s="3"/>
      <c r="G221" s="53"/>
      <c r="H221" s="242"/>
      <c r="I221" s="242"/>
      <c r="J221" s="242"/>
      <c r="K221" s="242"/>
      <c r="L221" s="242"/>
      <c r="M221" s="242"/>
      <c r="N221" s="242"/>
      <c r="O221" s="242"/>
      <c r="P221" s="242"/>
      <c r="Q221" s="251"/>
      <c r="R221" s="256"/>
      <c r="S221" s="225"/>
      <c r="T221" s="231"/>
      <c r="U221" s="225"/>
      <c r="V221" s="225"/>
      <c r="W221" s="231"/>
      <c r="X221" s="231"/>
    </row>
    <row r="222" spans="1:24" ht="13.8" thickBot="1" x14ac:dyDescent="0.3">
      <c r="A222" s="99"/>
      <c r="B222" s="146" t="s">
        <v>194</v>
      </c>
      <c r="C222" s="172"/>
      <c r="D222" s="171"/>
      <c r="E222" s="173"/>
      <c r="F222" s="50">
        <f>SUM(F216:F220)</f>
        <v>17960</v>
      </c>
      <c r="G222" s="50">
        <f>SUM(G216:G220)</f>
        <v>17960</v>
      </c>
      <c r="H222" s="244"/>
      <c r="I222" s="244"/>
      <c r="J222" s="244"/>
      <c r="K222" s="244"/>
      <c r="L222" s="244"/>
      <c r="M222" s="244"/>
      <c r="N222" s="244"/>
      <c r="O222" s="244"/>
      <c r="P222" s="244"/>
      <c r="Q222" s="253"/>
      <c r="R222" s="263"/>
      <c r="S222" s="237">
        <f>R222-F222</f>
        <v>-17960</v>
      </c>
      <c r="T222" s="238">
        <f>IF(F222=0,0,S222/F222)</f>
        <v>-1</v>
      </c>
      <c r="U222" s="237">
        <f>R222*$C$4</f>
        <v>0</v>
      </c>
      <c r="V222" s="237">
        <f>U222-G222</f>
        <v>-17960</v>
      </c>
      <c r="W222" s="238">
        <f>IF(G222=0,0,V222/G222)</f>
        <v>-1</v>
      </c>
      <c r="X222" s="238"/>
    </row>
    <row r="223" spans="1:24" ht="13.8" thickTop="1" x14ac:dyDescent="0.25">
      <c r="B223" s="174"/>
      <c r="F223" s="175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7"/>
      <c r="S223" s="225"/>
      <c r="T223" s="231"/>
      <c r="U223" s="225"/>
      <c r="V223" s="225"/>
      <c r="W223" s="231"/>
      <c r="X223" s="231"/>
    </row>
    <row r="224" spans="1:24" x14ac:dyDescent="0.25">
      <c r="A224" s="99" t="s">
        <v>157</v>
      </c>
      <c r="B224" s="99" t="s">
        <v>156</v>
      </c>
      <c r="C224" s="2"/>
      <c r="D224" s="142"/>
      <c r="E224" s="143"/>
      <c r="F224" s="3"/>
      <c r="G224" s="53"/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56"/>
      <c r="S224" s="225"/>
      <c r="T224" s="231"/>
      <c r="U224" s="225"/>
      <c r="V224" s="225"/>
      <c r="W224" s="231"/>
      <c r="X224" s="231"/>
    </row>
    <row r="225" spans="1:24" x14ac:dyDescent="0.25">
      <c r="A225" s="109" t="s">
        <v>162</v>
      </c>
      <c r="B225" s="170" t="s">
        <v>294</v>
      </c>
      <c r="C225" s="21" t="s">
        <v>436</v>
      </c>
      <c r="D225" s="25">
        <v>1</v>
      </c>
      <c r="E225" s="18">
        <v>20000</v>
      </c>
      <c r="F225" s="3">
        <f>D225*E225</f>
        <v>20000</v>
      </c>
      <c r="G225" s="53">
        <f>F225*C4</f>
        <v>20000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>R225-F225</f>
        <v>-20000</v>
      </c>
      <c r="T225" s="231">
        <f>IF(F225=0,0,S225/F225)</f>
        <v>-1</v>
      </c>
      <c r="U225" s="225">
        <f>R225*$C$4</f>
        <v>0</v>
      </c>
      <c r="V225" s="225">
        <f>U225-G225</f>
        <v>-20000</v>
      </c>
      <c r="W225" s="231">
        <f>IF(G225=0,0,V225/G225)</f>
        <v>-1</v>
      </c>
      <c r="X225" s="231"/>
    </row>
    <row r="226" spans="1:24" hidden="1" x14ac:dyDescent="0.25">
      <c r="A226" s="109" t="s">
        <v>163</v>
      </c>
      <c r="B226" s="170" t="s">
        <v>159</v>
      </c>
      <c r="C226" s="35"/>
      <c r="D226" s="36"/>
      <c r="E226" s="39"/>
      <c r="F226" s="3">
        <f>D226*E226</f>
        <v>0</v>
      </c>
      <c r="G226" s="53">
        <f>F226*C4</f>
        <v>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>R226-F226</f>
        <v>0</v>
      </c>
      <c r="T226" s="231">
        <f>IF(F226=0,0,S226/F226)</f>
        <v>0</v>
      </c>
      <c r="U226" s="225">
        <f>R226*$C$4</f>
        <v>0</v>
      </c>
      <c r="V226" s="225">
        <f>U226-G226</f>
        <v>0</v>
      </c>
      <c r="W226" s="231">
        <f>IF(G226=0,0,V226/G226)</f>
        <v>0</v>
      </c>
      <c r="X226" s="231"/>
    </row>
    <row r="227" spans="1:24" hidden="1" x14ac:dyDescent="0.25">
      <c r="A227" s="109" t="s">
        <v>164</v>
      </c>
      <c r="B227" s="170" t="s">
        <v>160</v>
      </c>
      <c r="C227" s="35"/>
      <c r="D227" s="36"/>
      <c r="E227" s="39"/>
      <c r="F227" s="3">
        <f>D227*E227</f>
        <v>0</v>
      </c>
      <c r="G227" s="53">
        <f>F227*C4</f>
        <v>0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>
        <f>R227-F227</f>
        <v>0</v>
      </c>
      <c r="T227" s="231">
        <f>IF(F227=0,0,S227/F227)</f>
        <v>0</v>
      </c>
      <c r="U227" s="225">
        <f>R227*$C$4</f>
        <v>0</v>
      </c>
      <c r="V227" s="225">
        <f>U227-G227</f>
        <v>0</v>
      </c>
      <c r="W227" s="231">
        <f>IF(G227=0,0,V227/G227)</f>
        <v>0</v>
      </c>
      <c r="X227" s="231"/>
    </row>
    <row r="228" spans="1:24" x14ac:dyDescent="0.25">
      <c r="A228" s="99"/>
      <c r="B228" s="170"/>
      <c r="C228" s="40"/>
      <c r="D228" s="41"/>
      <c r="E228" s="42"/>
      <c r="F228" s="3"/>
      <c r="G228" s="53"/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56"/>
      <c r="S228" s="237"/>
      <c r="T228" s="238"/>
      <c r="U228" s="237"/>
      <c r="V228" s="237"/>
      <c r="W228" s="238"/>
      <c r="X228" s="238"/>
    </row>
    <row r="229" spans="1:24" ht="13.8" thickBot="1" x14ac:dyDescent="0.3">
      <c r="A229" s="99"/>
      <c r="B229" s="146" t="s">
        <v>161</v>
      </c>
      <c r="C229" s="172"/>
      <c r="D229" s="171"/>
      <c r="E229" s="173"/>
      <c r="F229" s="50">
        <f>SUM(F225:F227)</f>
        <v>20000</v>
      </c>
      <c r="G229" s="50">
        <f>SUM(G225:G227)</f>
        <v>20000</v>
      </c>
      <c r="H229" s="244"/>
      <c r="I229" s="244"/>
      <c r="J229" s="244"/>
      <c r="K229" s="244"/>
      <c r="L229" s="244"/>
      <c r="M229" s="244"/>
      <c r="N229" s="244"/>
      <c r="O229" s="244"/>
      <c r="P229" s="244"/>
      <c r="Q229" s="253"/>
      <c r="R229" s="263"/>
      <c r="S229" s="237">
        <f>R229-F229</f>
        <v>-20000</v>
      </c>
      <c r="T229" s="238">
        <f>IF(F229=0,0,S229/F229)</f>
        <v>-1</v>
      </c>
      <c r="U229" s="237">
        <f>R229*$C$4</f>
        <v>0</v>
      </c>
      <c r="V229" s="237">
        <f>U229-G229</f>
        <v>-20000</v>
      </c>
      <c r="W229" s="238">
        <f>IF(G229=0,0,V229/G229)</f>
        <v>-1</v>
      </c>
      <c r="X229" s="238"/>
    </row>
    <row r="230" spans="1:24" ht="13.8" thickTop="1" x14ac:dyDescent="0.25">
      <c r="A230" s="99"/>
      <c r="B230" s="146"/>
      <c r="C230" s="172"/>
      <c r="D230" s="171"/>
      <c r="E230" s="173"/>
      <c r="F230" s="169"/>
      <c r="G230" s="169"/>
      <c r="H230" s="244"/>
      <c r="I230" s="244"/>
      <c r="J230" s="244"/>
      <c r="K230" s="244"/>
      <c r="L230" s="244"/>
      <c r="M230" s="244"/>
      <c r="N230" s="244"/>
      <c r="O230" s="244"/>
      <c r="P230" s="244"/>
      <c r="Q230" s="253"/>
      <c r="R230" s="263"/>
      <c r="S230" s="237"/>
      <c r="T230" s="238"/>
      <c r="U230" s="237"/>
      <c r="V230" s="237"/>
      <c r="W230" s="238"/>
      <c r="X230" s="238"/>
    </row>
    <row r="231" spans="1:24" x14ac:dyDescent="0.25">
      <c r="A231" s="99" t="s">
        <v>310</v>
      </c>
      <c r="B231" s="146" t="s">
        <v>313</v>
      </c>
      <c r="C231" s="172"/>
      <c r="D231" s="171"/>
      <c r="E231" s="173"/>
      <c r="F231" s="169"/>
      <c r="G231" s="169"/>
      <c r="H231" s="244"/>
      <c r="I231" s="244"/>
      <c r="J231" s="244"/>
      <c r="K231" s="244"/>
      <c r="L231" s="244"/>
      <c r="M231" s="244"/>
      <c r="N231" s="244"/>
      <c r="O231" s="244"/>
      <c r="P231" s="244"/>
      <c r="Q231" s="253"/>
      <c r="R231" s="263"/>
      <c r="S231" s="237"/>
      <c r="T231" s="238"/>
      <c r="U231" s="237"/>
      <c r="V231" s="237"/>
      <c r="W231" s="238"/>
      <c r="X231" s="238"/>
    </row>
    <row r="232" spans="1:24" x14ac:dyDescent="0.25">
      <c r="A232" s="109" t="s">
        <v>315</v>
      </c>
      <c r="B232" s="157" t="s">
        <v>314</v>
      </c>
      <c r="C232" s="172"/>
      <c r="D232" s="171"/>
      <c r="E232" s="173">
        <f ca="1">F258/1.03*3%</f>
        <v>24882.3</v>
      </c>
      <c r="F232" s="169">
        <f ca="1">E232</f>
        <v>24882.3</v>
      </c>
      <c r="G232" s="169">
        <f ca="1">F232*C4</f>
        <v>24882.3</v>
      </c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 t="e">
        <f>#REF!/1.03*3%</f>
        <v>#REF!</v>
      </c>
      <c r="S232" s="237"/>
      <c r="T232" s="238"/>
      <c r="U232" s="237" t="e">
        <f>R232*C4</f>
        <v>#REF!</v>
      </c>
      <c r="V232" s="237"/>
      <c r="W232" s="238"/>
      <c r="X232" s="238"/>
    </row>
    <row r="233" spans="1:24" x14ac:dyDescent="0.25">
      <c r="A233" s="109"/>
      <c r="B233" s="157"/>
      <c r="C233" s="172"/>
      <c r="D233" s="171"/>
      <c r="E233" s="173"/>
      <c r="F233" s="169"/>
      <c r="G233" s="169"/>
      <c r="H233" s="244"/>
      <c r="I233" s="244"/>
      <c r="J233" s="244"/>
      <c r="K233" s="244"/>
      <c r="L233" s="244"/>
      <c r="M233" s="244"/>
      <c r="N233" s="244"/>
      <c r="O233" s="244"/>
      <c r="P233" s="244"/>
      <c r="Q233" s="253"/>
      <c r="R233" s="263"/>
      <c r="S233" s="237"/>
      <c r="T233" s="238"/>
      <c r="U233" s="237"/>
      <c r="V233" s="237"/>
      <c r="W233" s="238"/>
      <c r="X233" s="238"/>
    </row>
    <row r="234" spans="1:24" ht="13.8" thickBot="1" x14ac:dyDescent="0.3">
      <c r="A234" s="99"/>
      <c r="B234" s="146" t="s">
        <v>316</v>
      </c>
      <c r="C234" s="172"/>
      <c r="D234" s="171"/>
      <c r="E234" s="173"/>
      <c r="F234" s="50">
        <f ca="1">F232</f>
        <v>24882.3</v>
      </c>
      <c r="G234" s="50">
        <f ca="1">G232</f>
        <v>24882.3</v>
      </c>
      <c r="H234" s="267"/>
      <c r="I234" s="244"/>
      <c r="J234" s="244"/>
      <c r="K234" s="244"/>
      <c r="L234" s="244"/>
      <c r="M234" s="244"/>
      <c r="N234" s="244"/>
      <c r="O234" s="244"/>
      <c r="P234" s="244"/>
      <c r="Q234" s="253"/>
      <c r="R234" s="263"/>
      <c r="S234" s="237"/>
      <c r="T234" s="238"/>
      <c r="U234" s="237"/>
      <c r="V234" s="237"/>
      <c r="W234" s="238"/>
      <c r="X234" s="238"/>
    </row>
    <row r="235" spans="1:24" ht="13.8" thickTop="1" x14ac:dyDescent="0.25">
      <c r="A235" s="99"/>
      <c r="B235" s="146"/>
      <c r="C235" s="118"/>
      <c r="D235" s="122"/>
      <c r="E235" s="123"/>
      <c r="F235" s="169"/>
      <c r="G235" s="169"/>
      <c r="H235" s="244"/>
      <c r="I235" s="244"/>
      <c r="J235" s="244"/>
      <c r="K235" s="244"/>
      <c r="L235" s="244"/>
      <c r="M235" s="244"/>
      <c r="N235" s="244"/>
      <c r="O235" s="244"/>
      <c r="P235" s="244"/>
      <c r="Q235" s="253"/>
      <c r="R235" s="259"/>
      <c r="S235" s="225"/>
      <c r="T235" s="231"/>
      <c r="U235" s="225"/>
      <c r="V235" s="225"/>
      <c r="W235" s="231"/>
      <c r="X235" s="231"/>
    </row>
    <row r="236" spans="1:24" ht="13.8" thickBot="1" x14ac:dyDescent="0.3">
      <c r="A236" s="176"/>
      <c r="B236" s="177" t="s">
        <v>49</v>
      </c>
      <c r="C236" s="179"/>
      <c r="D236" s="178"/>
      <c r="E236" s="180"/>
      <c r="F236" s="54">
        <f ca="1">SUM(F100+F164+F176+F195+F204+F213+F222+F229+F234)</f>
        <v>788992.3</v>
      </c>
      <c r="G236" s="54">
        <f ca="1">F236*C4</f>
        <v>788992.3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26">
        <f ca="1">R236-F236</f>
        <v>-788992.3</v>
      </c>
      <c r="T236" s="236">
        <f ca="1">IF(F236=0,0,S236/F236)</f>
        <v>-1</v>
      </c>
      <c r="U236" s="226">
        <f>R236*$C$4</f>
        <v>0</v>
      </c>
      <c r="V236" s="226">
        <f ca="1">U236-G236</f>
        <v>-788992.3</v>
      </c>
      <c r="W236" s="236">
        <f ca="1">IF(G236=0,0,V236/G236)</f>
        <v>-1</v>
      </c>
      <c r="X236" s="268"/>
    </row>
    <row r="237" spans="1:24" ht="13.8" thickTop="1" x14ac:dyDescent="0.25">
      <c r="B237" s="87"/>
      <c r="F237" s="48"/>
      <c r="H237" s="242"/>
      <c r="I237" s="242"/>
      <c r="J237" s="242"/>
      <c r="K237" s="242"/>
      <c r="L237" s="242"/>
      <c r="M237" s="242"/>
      <c r="N237" s="242"/>
      <c r="O237" s="242"/>
      <c r="P237" s="242"/>
      <c r="Q237" s="251"/>
      <c r="R237" s="257"/>
      <c r="S237" s="225"/>
      <c r="T237" s="231"/>
      <c r="U237" s="225"/>
      <c r="V237" s="225"/>
      <c r="W237" s="231"/>
      <c r="X237" s="231"/>
    </row>
    <row r="238" spans="1:24" x14ac:dyDescent="0.25">
      <c r="A238" s="70" t="s">
        <v>57</v>
      </c>
      <c r="F238" s="48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7"/>
      <c r="S238" s="225"/>
      <c r="T238" s="231"/>
      <c r="U238" s="225"/>
      <c r="V238" s="225"/>
      <c r="W238" s="231"/>
      <c r="X238" s="231"/>
    </row>
    <row r="239" spans="1:24" x14ac:dyDescent="0.25">
      <c r="A239" s="70" t="s">
        <v>18</v>
      </c>
      <c r="B239" s="181" t="s">
        <v>9</v>
      </c>
      <c r="F239" s="48"/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57"/>
      <c r="S239" s="225"/>
      <c r="T239" s="231"/>
      <c r="U239" s="225"/>
      <c r="V239" s="225"/>
      <c r="W239" s="231"/>
      <c r="X239" s="231"/>
    </row>
    <row r="240" spans="1:24" x14ac:dyDescent="0.25">
      <c r="B240" s="149" t="s">
        <v>713</v>
      </c>
      <c r="C240" s="21" t="s">
        <v>392</v>
      </c>
      <c r="D240" s="25">
        <v>12</v>
      </c>
      <c r="E240" s="18">
        <f>3500*50%</f>
        <v>1750</v>
      </c>
      <c r="F240" s="48">
        <f t="shared" ref="F240:F245" si="13">D240*E240</f>
        <v>21000</v>
      </c>
      <c r="G240" s="49">
        <f t="shared" ref="G240:G245" si="14">F240*$C$4</f>
        <v>21000</v>
      </c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62"/>
      <c r="S240" s="225">
        <f>R240-F240</f>
        <v>-21000</v>
      </c>
      <c r="T240" s="231">
        <f>IF(F240=0,0,S240/F240)</f>
        <v>-1</v>
      </c>
      <c r="U240" s="225">
        <f>R240*$C$4</f>
        <v>0</v>
      </c>
      <c r="V240" s="225">
        <f>U240-G240</f>
        <v>-21000</v>
      </c>
      <c r="W240" s="231">
        <f>IF(G240=0,0,V240/G240)</f>
        <v>-1</v>
      </c>
      <c r="X240" s="231"/>
    </row>
    <row r="241" spans="1:25" x14ac:dyDescent="0.25">
      <c r="B241" s="149" t="s">
        <v>714</v>
      </c>
      <c r="C241" s="21" t="s">
        <v>392</v>
      </c>
      <c r="D241" s="25">
        <v>12</v>
      </c>
      <c r="E241" s="18">
        <f>3500*20%</f>
        <v>700</v>
      </c>
      <c r="F241" s="48">
        <f t="shared" si="13"/>
        <v>8400</v>
      </c>
      <c r="G241" s="49">
        <f t="shared" si="14"/>
        <v>8400</v>
      </c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62"/>
      <c r="S241" s="225">
        <f>R241-F241</f>
        <v>-8400</v>
      </c>
      <c r="T241" s="231">
        <f>IF(F241=0,0,S241/F241)</f>
        <v>-1</v>
      </c>
      <c r="U241" s="225">
        <f>R241*$C$4</f>
        <v>0</v>
      </c>
      <c r="V241" s="225">
        <f>U241-G241</f>
        <v>-8400</v>
      </c>
      <c r="W241" s="231">
        <f>IF(G241=0,0,V241/G241)</f>
        <v>-1</v>
      </c>
      <c r="X241" s="231"/>
    </row>
    <row r="242" spans="1:25" x14ac:dyDescent="0.25">
      <c r="B242" s="149" t="s">
        <v>715</v>
      </c>
      <c r="C242" s="21" t="s">
        <v>392</v>
      </c>
      <c r="D242" s="25">
        <v>12</v>
      </c>
      <c r="E242" s="18">
        <f>3500*30%</f>
        <v>1050</v>
      </c>
      <c r="F242" s="48">
        <f t="shared" si="13"/>
        <v>12600</v>
      </c>
      <c r="G242" s="49">
        <f t="shared" si="14"/>
        <v>12600</v>
      </c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62"/>
      <c r="S242" s="225"/>
      <c r="T242" s="231"/>
      <c r="U242" s="225"/>
      <c r="V242" s="225"/>
      <c r="W242" s="231"/>
      <c r="X242" s="231"/>
    </row>
    <row r="243" spans="1:25" x14ac:dyDescent="0.25">
      <c r="B243" s="149" t="s">
        <v>716</v>
      </c>
      <c r="C243" s="21" t="s">
        <v>392</v>
      </c>
      <c r="D243" s="25">
        <v>12</v>
      </c>
      <c r="E243" s="18">
        <f>1500*40%</f>
        <v>600</v>
      </c>
      <c r="F243" s="48">
        <f t="shared" si="13"/>
        <v>7200</v>
      </c>
      <c r="G243" s="49">
        <f t="shared" si="14"/>
        <v>7200</v>
      </c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62"/>
      <c r="S243" s="225"/>
      <c r="T243" s="231"/>
      <c r="U243" s="225"/>
      <c r="V243" s="225"/>
      <c r="W243" s="231"/>
      <c r="X243" s="231"/>
    </row>
    <row r="244" spans="1:25" ht="26.4" x14ac:dyDescent="0.25">
      <c r="B244" s="149" t="s">
        <v>717</v>
      </c>
      <c r="C244" s="21" t="s">
        <v>392</v>
      </c>
      <c r="D244" s="25">
        <v>12</v>
      </c>
      <c r="E244" s="18">
        <f>1500*15%</f>
        <v>225</v>
      </c>
      <c r="F244" s="48">
        <f t="shared" si="13"/>
        <v>2700</v>
      </c>
      <c r="G244" s="49">
        <f t="shared" si="14"/>
        <v>2700</v>
      </c>
      <c r="H244" s="242"/>
      <c r="I244" s="242"/>
      <c r="J244" s="242"/>
      <c r="K244" s="242"/>
      <c r="L244" s="242"/>
      <c r="M244" s="242"/>
      <c r="N244" s="242"/>
      <c r="O244" s="242"/>
      <c r="P244" s="242"/>
      <c r="Q244" s="251"/>
      <c r="R244" s="262"/>
      <c r="S244" s="225"/>
      <c r="T244" s="231"/>
      <c r="U244" s="225"/>
      <c r="V244" s="225"/>
      <c r="W244" s="231"/>
      <c r="X244" s="231"/>
    </row>
    <row r="245" spans="1:25" x14ac:dyDescent="0.25">
      <c r="B245" s="149" t="s">
        <v>718</v>
      </c>
      <c r="C245" s="21" t="s">
        <v>392</v>
      </c>
      <c r="D245" s="25">
        <v>12</v>
      </c>
      <c r="E245" s="18">
        <f>1600*15%</f>
        <v>240</v>
      </c>
      <c r="F245" s="48">
        <f t="shared" si="13"/>
        <v>2880</v>
      </c>
      <c r="G245" s="49">
        <f t="shared" si="14"/>
        <v>2880</v>
      </c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62"/>
      <c r="S245" s="225">
        <f>R245-F245</f>
        <v>-2880</v>
      </c>
      <c r="T245" s="231">
        <f>IF(F245=0,0,S245/F245)</f>
        <v>-1</v>
      </c>
      <c r="U245" s="225">
        <f>R245*$C$4</f>
        <v>0</v>
      </c>
      <c r="V245" s="225">
        <f>U245-G245</f>
        <v>-2880</v>
      </c>
      <c r="W245" s="231">
        <f>IF(G245=0,0,V245/G245)</f>
        <v>-1</v>
      </c>
      <c r="X245" s="231"/>
    </row>
    <row r="246" spans="1:25" x14ac:dyDescent="0.25">
      <c r="B246" s="182" t="s">
        <v>35</v>
      </c>
      <c r="C246" s="6"/>
      <c r="D246" s="7"/>
      <c r="E246" s="8"/>
      <c r="F246" s="48"/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57"/>
      <c r="S246" s="225"/>
      <c r="T246" s="231"/>
      <c r="U246" s="225"/>
      <c r="V246" s="225"/>
      <c r="W246" s="231"/>
      <c r="X246" s="231"/>
    </row>
    <row r="247" spans="1:25" x14ac:dyDescent="0.25">
      <c r="B247" s="149" t="s">
        <v>719</v>
      </c>
      <c r="C247" s="21" t="s">
        <v>392</v>
      </c>
      <c r="D247" s="25">
        <v>12</v>
      </c>
      <c r="E247" s="18">
        <f>1000*20%</f>
        <v>200</v>
      </c>
      <c r="F247" s="48">
        <f>D247*E247</f>
        <v>2400</v>
      </c>
      <c r="G247" s="49">
        <f>F247*C4</f>
        <v>2400</v>
      </c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62"/>
      <c r="S247" s="225">
        <f>R247-F247</f>
        <v>-2400</v>
      </c>
      <c r="T247" s="231">
        <f>IF(F247=0,0,S247/F247)</f>
        <v>-1</v>
      </c>
      <c r="U247" s="225">
        <f>R247*$C$4</f>
        <v>0</v>
      </c>
      <c r="V247" s="225">
        <f>U247-G247</f>
        <v>-2400</v>
      </c>
      <c r="W247" s="231">
        <f>IF(G247=0,0,V247/G247)</f>
        <v>-1</v>
      </c>
      <c r="X247" s="231"/>
    </row>
    <row r="248" spans="1:25" x14ac:dyDescent="0.25">
      <c r="B248" s="149" t="s">
        <v>720</v>
      </c>
      <c r="C248" s="21" t="s">
        <v>392</v>
      </c>
      <c r="D248" s="25">
        <v>12</v>
      </c>
      <c r="E248" s="18">
        <f>1300*20%</f>
        <v>260</v>
      </c>
      <c r="F248" s="48">
        <f>D248*E248</f>
        <v>3120</v>
      </c>
      <c r="G248" s="49">
        <f>F248*C4</f>
        <v>3120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>
        <f>R248-F248</f>
        <v>-3120</v>
      </c>
      <c r="T248" s="231">
        <f>IF(F248=0,0,S248/F248)</f>
        <v>-1</v>
      </c>
      <c r="U248" s="225">
        <f>R248*$C$4</f>
        <v>0</v>
      </c>
      <c r="V248" s="225">
        <f>U248-G248</f>
        <v>-3120</v>
      </c>
      <c r="W248" s="231">
        <f>IF(G248=0,0,V248/G248)</f>
        <v>-1</v>
      </c>
      <c r="X248" s="231"/>
    </row>
    <row r="249" spans="1:25" x14ac:dyDescent="0.25">
      <c r="B249" s="149" t="s">
        <v>38</v>
      </c>
      <c r="C249" s="21" t="s">
        <v>392</v>
      </c>
      <c r="D249" s="25">
        <v>12</v>
      </c>
      <c r="E249" s="18">
        <v>150</v>
      </c>
      <c r="F249" s="48">
        <f>D249*E249</f>
        <v>1800</v>
      </c>
      <c r="G249" s="49">
        <f>F249*C4</f>
        <v>1800</v>
      </c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62"/>
      <c r="S249" s="225">
        <f>R249-F249</f>
        <v>-1800</v>
      </c>
      <c r="T249" s="231">
        <f>IF(F249=0,0,S249/F249)</f>
        <v>-1</v>
      </c>
      <c r="U249" s="225">
        <f>R249*$C$4</f>
        <v>0</v>
      </c>
      <c r="V249" s="225">
        <f>U249-G249</f>
        <v>-1800</v>
      </c>
      <c r="W249" s="231">
        <f>IF(G249=0,0,V249/G249)</f>
        <v>-1</v>
      </c>
      <c r="X249" s="231"/>
    </row>
    <row r="250" spans="1:25" x14ac:dyDescent="0.25">
      <c r="B250" s="182" t="s">
        <v>39</v>
      </c>
      <c r="C250" s="6"/>
      <c r="D250" s="7"/>
      <c r="E250" s="8"/>
      <c r="F250" s="48"/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57"/>
      <c r="S250" s="225"/>
      <c r="T250" s="231"/>
      <c r="U250" s="225"/>
      <c r="V250" s="225"/>
      <c r="W250" s="231"/>
      <c r="X250" s="231"/>
    </row>
    <row r="251" spans="1:25" x14ac:dyDescent="0.25">
      <c r="B251" s="137" t="s">
        <v>40</v>
      </c>
      <c r="C251" s="21" t="s">
        <v>392</v>
      </c>
      <c r="D251" s="25">
        <v>12</v>
      </c>
      <c r="E251" s="18">
        <v>100</v>
      </c>
      <c r="F251" s="48">
        <f>D251*E251</f>
        <v>1200</v>
      </c>
      <c r="G251" s="49">
        <f>F251*C4</f>
        <v>1200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>
        <f>R251-F251</f>
        <v>-1200</v>
      </c>
      <c r="T251" s="231">
        <f>IF(F251=0,0,S251/F251)</f>
        <v>-1</v>
      </c>
      <c r="U251" s="225">
        <f>R251*$C$4</f>
        <v>0</v>
      </c>
      <c r="V251" s="225">
        <f>U251-G251</f>
        <v>-1200</v>
      </c>
      <c r="W251" s="231">
        <f>IF(G251=0,0,V251/G251)</f>
        <v>-1</v>
      </c>
      <c r="X251" s="231"/>
    </row>
    <row r="252" spans="1:25" x14ac:dyDescent="0.25">
      <c r="B252" s="182" t="s">
        <v>41</v>
      </c>
      <c r="C252" s="5"/>
      <c r="D252" s="5"/>
      <c r="E252" s="5"/>
      <c r="F252" s="168"/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57"/>
      <c r="S252" s="225"/>
      <c r="T252" s="231"/>
      <c r="U252" s="225"/>
      <c r="V252" s="225"/>
      <c r="W252" s="231"/>
      <c r="X252" s="231"/>
    </row>
    <row r="253" spans="1:25" x14ac:dyDescent="0.25">
      <c r="B253" s="149" t="s">
        <v>721</v>
      </c>
      <c r="C253" s="21" t="s">
        <v>436</v>
      </c>
      <c r="D253" s="25">
        <v>1</v>
      </c>
      <c r="E253" s="18">
        <v>2000</v>
      </c>
      <c r="F253" s="48">
        <f>D253*E253</f>
        <v>2000</v>
      </c>
      <c r="G253" s="49">
        <f>F253*C4</f>
        <v>2000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>
        <f>R253-F253</f>
        <v>-2000</v>
      </c>
      <c r="T253" s="231">
        <f>IF(F253=0,0,S253/F253)</f>
        <v>-1</v>
      </c>
      <c r="U253" s="225">
        <f>R253*$C$4</f>
        <v>0</v>
      </c>
      <c r="V253" s="225">
        <f>U253-G253</f>
        <v>-2000</v>
      </c>
      <c r="W253" s="231">
        <f>IF(G253=0,0,V253/G253)</f>
        <v>-1</v>
      </c>
      <c r="X253" s="231"/>
    </row>
    <row r="254" spans="1:25" x14ac:dyDescent="0.25">
      <c r="B254" s="149"/>
      <c r="C254" s="6"/>
      <c r="D254" s="7"/>
      <c r="E254" s="8"/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5" x14ac:dyDescent="0.25">
      <c r="A255" s="177"/>
      <c r="B255" s="177" t="s">
        <v>58</v>
      </c>
      <c r="C255" s="179"/>
      <c r="D255" s="178"/>
      <c r="E255" s="180"/>
      <c r="F255" s="263">
        <f>SUM(F240:F253)</f>
        <v>65300</v>
      </c>
      <c r="G255" s="319">
        <f>SUM(G240:G253)</f>
        <v>65300</v>
      </c>
      <c r="H255" s="246"/>
      <c r="I255" s="246"/>
      <c r="J255" s="246"/>
      <c r="K255" s="246"/>
      <c r="L255" s="246"/>
      <c r="M255" s="246"/>
      <c r="N255" s="246"/>
      <c r="O255" s="246"/>
      <c r="P255" s="246"/>
      <c r="Q255" s="255"/>
      <c r="R255" s="265"/>
      <c r="S255" s="226">
        <f>R255-F255</f>
        <v>-65300</v>
      </c>
      <c r="T255" s="236">
        <f>IF(F255=0,0,S255/F255)</f>
        <v>-1</v>
      </c>
      <c r="U255" s="226">
        <f>R255*$C$4</f>
        <v>0</v>
      </c>
      <c r="V255" s="226">
        <f>U255-G255</f>
        <v>-65300</v>
      </c>
      <c r="W255" s="236">
        <f>IF(G255=0,0,V255/G255)</f>
        <v>-1</v>
      </c>
      <c r="X255" s="236"/>
    </row>
    <row r="256" spans="1:25" x14ac:dyDescent="0.25">
      <c r="A256" s="146"/>
      <c r="B256" s="146"/>
      <c r="C256" s="118"/>
      <c r="D256" s="122"/>
      <c r="E256" s="123"/>
      <c r="F256" s="55">
        <f ca="1">(F255/F258)</f>
        <v>7.6437537831021071E-2</v>
      </c>
      <c r="G256" s="55">
        <f ca="1">(G255/G258)</f>
        <v>7.6437537831021071E-2</v>
      </c>
      <c r="H256" s="247"/>
      <c r="I256" s="248"/>
      <c r="J256" s="248"/>
      <c r="K256" s="248"/>
      <c r="L256" s="248"/>
      <c r="M256" s="248"/>
      <c r="N256" s="248"/>
      <c r="O256" s="248"/>
      <c r="P256" s="248"/>
      <c r="Q256" s="248"/>
      <c r="R256" s="228"/>
      <c r="S256" s="228"/>
      <c r="T256" s="228"/>
      <c r="U256" s="228"/>
      <c r="V256" s="228"/>
      <c r="W256" s="228"/>
      <c r="X256" s="228"/>
      <c r="Y256" s="53"/>
    </row>
    <row r="257" spans="1:25" x14ac:dyDescent="0.25">
      <c r="A257" s="146"/>
      <c r="B257" s="146"/>
      <c r="C257" s="118"/>
      <c r="D257" s="122"/>
      <c r="E257" s="123"/>
      <c r="F257" s="228"/>
      <c r="G257" s="228"/>
      <c r="H257" s="247"/>
      <c r="I257" s="248"/>
      <c r="J257" s="248"/>
      <c r="K257" s="248"/>
      <c r="L257" s="248"/>
      <c r="M257" s="248"/>
      <c r="N257" s="248"/>
      <c r="O257" s="248"/>
      <c r="P257" s="248"/>
      <c r="Q257" s="248"/>
      <c r="R257" s="228"/>
      <c r="S257" s="228"/>
      <c r="T257" s="228"/>
      <c r="U257" s="228"/>
      <c r="V257" s="228"/>
      <c r="W257" s="228"/>
      <c r="X257" s="228"/>
      <c r="Y257" s="53"/>
    </row>
    <row r="258" spans="1:25" ht="13.8" thickBot="1" x14ac:dyDescent="0.3">
      <c r="A258" s="275"/>
      <c r="B258" s="275" t="s">
        <v>318</v>
      </c>
      <c r="C258" s="276"/>
      <c r="D258" s="277"/>
      <c r="E258" s="274"/>
      <c r="F258" s="279">
        <f ca="1">SUM(F236+F255)</f>
        <v>854292.3</v>
      </c>
      <c r="G258" s="279">
        <f ca="1">G236+G255</f>
        <v>854292.3</v>
      </c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175"/>
      <c r="S258" s="175"/>
      <c r="T258" s="175"/>
      <c r="U258" s="175"/>
      <c r="V258" s="175"/>
      <c r="W258" s="175"/>
      <c r="X258" s="175"/>
    </row>
    <row r="259" spans="1:25" ht="13.8" thickTop="1" x14ac:dyDescent="0.25">
      <c r="F259" s="4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"/>
      <c r="S259" s="1"/>
      <c r="T259" s="1"/>
      <c r="U259" s="1"/>
      <c r="V259" s="1"/>
      <c r="W259" s="1"/>
      <c r="X259" s="1"/>
    </row>
    <row r="260" spans="1:25" ht="13.8" thickBot="1" x14ac:dyDescent="0.3">
      <c r="A260" s="184" t="s">
        <v>24</v>
      </c>
      <c r="B260" s="185"/>
      <c r="C260" s="186"/>
      <c r="D260" s="187"/>
      <c r="E260" s="188"/>
      <c r="F260" s="56">
        <f ca="1">SUM(F258-F73)</f>
        <v>854292.3</v>
      </c>
      <c r="G260" s="56">
        <f ca="1">SUM(G258-G73)</f>
        <v>854292.3</v>
      </c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229"/>
      <c r="S260" s="229"/>
      <c r="T260" s="229"/>
      <c r="U260" s="229"/>
      <c r="V260" s="229"/>
      <c r="W260" s="229"/>
      <c r="X260" s="229"/>
    </row>
    <row r="261" spans="1:25" ht="13.8" thickTop="1" x14ac:dyDescent="0.25">
      <c r="F261" s="74"/>
    </row>
    <row r="262" spans="1:25" x14ac:dyDescent="0.25">
      <c r="F262" s="74"/>
    </row>
    <row r="263" spans="1:25" x14ac:dyDescent="0.25">
      <c r="A263" s="70" t="s">
        <v>15</v>
      </c>
      <c r="F263" s="74"/>
    </row>
    <row r="264" spans="1:25" x14ac:dyDescent="0.25">
      <c r="F264" s="74"/>
    </row>
    <row r="265" spans="1:25" ht="15" x14ac:dyDescent="0.4">
      <c r="B265" s="190" t="s">
        <v>16</v>
      </c>
      <c r="D265" s="191" t="s">
        <v>26</v>
      </c>
      <c r="F265" s="393" t="s">
        <v>17</v>
      </c>
      <c r="G265" s="394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</row>
    <row r="266" spans="1:25" ht="15" x14ac:dyDescent="0.4">
      <c r="B266" s="49" t="s">
        <v>828</v>
      </c>
      <c r="D266" s="191">
        <v>550</v>
      </c>
      <c r="F266" s="74" t="s">
        <v>833</v>
      </c>
    </row>
    <row r="267" spans="1:25" x14ac:dyDescent="0.25">
      <c r="B267" s="49" t="s">
        <v>829</v>
      </c>
      <c r="D267" s="72">
        <v>550</v>
      </c>
      <c r="F267" s="74" t="s">
        <v>833</v>
      </c>
    </row>
    <row r="268" spans="1:25" ht="26.4" x14ac:dyDescent="0.25">
      <c r="B268" s="137" t="s">
        <v>830</v>
      </c>
      <c r="D268" s="72">
        <v>1000</v>
      </c>
      <c r="F268" s="74" t="s">
        <v>833</v>
      </c>
    </row>
    <row r="269" spans="1:25" x14ac:dyDescent="0.25">
      <c r="F269" s="74"/>
    </row>
    <row r="270" spans="1:25" x14ac:dyDescent="0.25">
      <c r="F270" s="74"/>
    </row>
    <row r="271" spans="1:25" x14ac:dyDescent="0.25">
      <c r="F271" s="74"/>
    </row>
    <row r="272" spans="1:25" x14ac:dyDescent="0.25">
      <c r="F272" s="74"/>
    </row>
    <row r="273" spans="6:6" x14ac:dyDescent="0.25">
      <c r="F273" s="74"/>
    </row>
    <row r="274" spans="6:6" x14ac:dyDescent="0.25">
      <c r="F274" s="74"/>
    </row>
    <row r="275" spans="6:6" x14ac:dyDescent="0.25">
      <c r="F275" s="74"/>
    </row>
    <row r="276" spans="6:6" x14ac:dyDescent="0.25">
      <c r="F276" s="74"/>
    </row>
    <row r="277" spans="6:6" x14ac:dyDescent="0.25">
      <c r="F277" s="74"/>
    </row>
    <row r="278" spans="6:6" x14ac:dyDescent="0.25">
      <c r="F278" s="74"/>
    </row>
    <row r="279" spans="6:6" x14ac:dyDescent="0.25">
      <c r="F279" s="74"/>
    </row>
    <row r="280" spans="6:6" x14ac:dyDescent="0.25">
      <c r="F280" s="74"/>
    </row>
    <row r="281" spans="6:6" x14ac:dyDescent="0.25">
      <c r="F281" s="74"/>
    </row>
    <row r="282" spans="6:6" x14ac:dyDescent="0.25">
      <c r="F282" s="74"/>
    </row>
    <row r="283" spans="6:6" x14ac:dyDescent="0.25">
      <c r="F283" s="74"/>
    </row>
    <row r="284" spans="6:6" x14ac:dyDescent="0.25">
      <c r="F284" s="74"/>
    </row>
    <row r="285" spans="6:6" x14ac:dyDescent="0.25">
      <c r="F285" s="74"/>
    </row>
    <row r="286" spans="6:6" x14ac:dyDescent="0.25">
      <c r="F286" s="74"/>
    </row>
    <row r="287" spans="6:6" x14ac:dyDescent="0.25">
      <c r="F287" s="74"/>
    </row>
    <row r="288" spans="6:6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</sheetData>
  <mergeCells count="3">
    <mergeCell ref="A1:G1"/>
    <mergeCell ref="H76:Q76"/>
    <mergeCell ref="F265:G265"/>
  </mergeCells>
  <conditionalFormatting sqref="F256:X257">
    <cfRule type="cellIs" dxfId="1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1"/>
  <sheetViews>
    <sheetView view="pageBreakPreview" zoomScale="92" zoomScaleNormal="100" zoomScaleSheetLayoutView="92" workbookViewId="0">
      <pane ySplit="14" topLeftCell="A248" activePane="bottomLeft" state="frozen"/>
      <selection pane="bottomLeft" activeCell="A5" sqref="A5"/>
    </sheetView>
  </sheetViews>
  <sheetFormatPr defaultColWidth="9.109375" defaultRowHeight="13.2" x14ac:dyDescent="0.25"/>
  <cols>
    <col min="1" max="1" width="6.332031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1.6640625" style="49" customWidth="1"/>
    <col min="8" max="17" width="10.109375" style="49" hidden="1" customWidth="1"/>
    <col min="18" max="19" width="14.33203125" style="49" hidden="1" customWidth="1"/>
    <col min="20" max="24" width="10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f>Consolidated!C4</f>
        <v>1</v>
      </c>
      <c r="F4" s="74"/>
      <c r="Y4" s="77"/>
    </row>
    <row r="5" spans="1:27" x14ac:dyDescent="0.25">
      <c r="B5" s="78" t="s">
        <v>756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767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838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206" t="s">
        <v>80</v>
      </c>
      <c r="B83" s="57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49" si="1">R83-F83</f>
        <v>0</v>
      </c>
      <c r="T83" s="231">
        <f t="shared" ref="T83:T149" si="2">IF(F83=0,0,S83/F83)</f>
        <v>0</v>
      </c>
      <c r="U83" s="225">
        <f t="shared" ref="U83:U149" si="3">R83*$C$4</f>
        <v>0</v>
      </c>
      <c r="V83" s="225">
        <f t="shared" ref="V83:V149" si="4">U83-G83</f>
        <v>0</v>
      </c>
      <c r="W83" s="231">
        <f t="shared" ref="W83:W149" si="5">IF(G83=0,0,V83/G83)</f>
        <v>0</v>
      </c>
      <c r="X83" s="231"/>
    </row>
    <row r="84" spans="1:24" hidden="1" x14ac:dyDescent="0.25">
      <c r="A84" s="207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207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207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207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207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204"/>
      <c r="B89" s="205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ht="26.4" x14ac:dyDescent="0.25">
      <c r="A91" s="77" t="s">
        <v>82</v>
      </c>
      <c r="B91" s="57" t="s">
        <v>722</v>
      </c>
      <c r="C91" s="21" t="s">
        <v>392</v>
      </c>
      <c r="D91" s="25">
        <v>12</v>
      </c>
      <c r="E91" s="18">
        <f>(600*50%)+((600*50%)/12)+20</f>
        <v>345</v>
      </c>
      <c r="F91" s="48">
        <f t="shared" ref="F91:F99" si="6">D91*E91</f>
        <v>4140</v>
      </c>
      <c r="G91" s="49">
        <f>F91*C4</f>
        <v>4140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-4140</v>
      </c>
      <c r="T91" s="231">
        <f t="shared" si="2"/>
        <v>-1</v>
      </c>
      <c r="U91" s="225">
        <f t="shared" si="3"/>
        <v>0</v>
      </c>
      <c r="V91" s="225">
        <f t="shared" si="4"/>
        <v>-4140</v>
      </c>
      <c r="W91" s="231">
        <f t="shared" si="5"/>
        <v>-1</v>
      </c>
      <c r="X91" s="231"/>
    </row>
    <row r="92" spans="1:24" ht="26.4" x14ac:dyDescent="0.25">
      <c r="A92" s="144" t="s">
        <v>88</v>
      </c>
      <c r="B92" s="57" t="s">
        <v>723</v>
      </c>
      <c r="C92" s="21" t="s">
        <v>392</v>
      </c>
      <c r="D92" s="25">
        <v>12</v>
      </c>
      <c r="E92" s="18">
        <f>(300*50%)+((300*50%)/12)+20</f>
        <v>182.5</v>
      </c>
      <c r="F92" s="48">
        <f t="shared" si="6"/>
        <v>2190</v>
      </c>
      <c r="G92" s="49">
        <f>F92*C4</f>
        <v>2190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-2190</v>
      </c>
      <c r="T92" s="231">
        <f t="shared" si="2"/>
        <v>-1</v>
      </c>
      <c r="U92" s="225">
        <f t="shared" si="3"/>
        <v>0</v>
      </c>
      <c r="V92" s="225">
        <f t="shared" si="4"/>
        <v>-2190</v>
      </c>
      <c r="W92" s="231">
        <f t="shared" si="5"/>
        <v>-1</v>
      </c>
      <c r="X92" s="231"/>
    </row>
    <row r="93" spans="1:24" x14ac:dyDescent="0.25">
      <c r="A93" s="144" t="s">
        <v>89</v>
      </c>
      <c r="B93" s="57" t="s">
        <v>724</v>
      </c>
      <c r="C93" s="21" t="s">
        <v>392</v>
      </c>
      <c r="D93" s="25">
        <v>12</v>
      </c>
      <c r="E93" s="18">
        <f>(410*50%)+((410*50%)/12)+20</f>
        <v>242.08333333333334</v>
      </c>
      <c r="F93" s="48">
        <f t="shared" si="6"/>
        <v>2905</v>
      </c>
      <c r="G93" s="49">
        <f>F93*C4</f>
        <v>2905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-2905</v>
      </c>
      <c r="T93" s="231">
        <f t="shared" si="2"/>
        <v>-1</v>
      </c>
      <c r="U93" s="225">
        <f t="shared" si="3"/>
        <v>0</v>
      </c>
      <c r="V93" s="225">
        <f t="shared" si="4"/>
        <v>-2905</v>
      </c>
      <c r="W93" s="231">
        <f t="shared" si="5"/>
        <v>-1</v>
      </c>
      <c r="X93" s="231"/>
    </row>
    <row r="94" spans="1:24" x14ac:dyDescent="0.25">
      <c r="A94" s="144" t="s">
        <v>90</v>
      </c>
      <c r="B94" s="57" t="s">
        <v>725</v>
      </c>
      <c r="C94" s="21" t="s">
        <v>392</v>
      </c>
      <c r="D94" s="25">
        <v>12</v>
      </c>
      <c r="E94" s="18">
        <f>(550*50%)+((550*50%)/12)+20</f>
        <v>317.91666666666669</v>
      </c>
      <c r="F94" s="48">
        <f t="shared" si="6"/>
        <v>3815</v>
      </c>
      <c r="G94" s="49">
        <f t="shared" ref="G94:G99" si="7">F94*$C$4</f>
        <v>3815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-3815</v>
      </c>
      <c r="T94" s="231">
        <f t="shared" si="2"/>
        <v>-1</v>
      </c>
      <c r="U94" s="225">
        <f t="shared" si="3"/>
        <v>0</v>
      </c>
      <c r="V94" s="225">
        <f t="shared" si="4"/>
        <v>-3815</v>
      </c>
      <c r="W94" s="231">
        <f t="shared" si="5"/>
        <v>-1</v>
      </c>
      <c r="X94" s="231"/>
    </row>
    <row r="95" spans="1:24" x14ac:dyDescent="0.25">
      <c r="A95" s="144" t="s">
        <v>91</v>
      </c>
      <c r="B95" s="57" t="s">
        <v>726</v>
      </c>
      <c r="C95" s="21" t="s">
        <v>392</v>
      </c>
      <c r="D95" s="25">
        <v>12</v>
      </c>
      <c r="E95" s="18">
        <f>(550*50%)+((550*50%)/12)+20</f>
        <v>317.91666666666669</v>
      </c>
      <c r="F95" s="48">
        <f t="shared" si="6"/>
        <v>3815</v>
      </c>
      <c r="G95" s="49">
        <f t="shared" si="7"/>
        <v>3815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/>
      <c r="T95" s="231"/>
      <c r="U95" s="225"/>
      <c r="V95" s="225"/>
      <c r="W95" s="231"/>
      <c r="X95" s="231"/>
    </row>
    <row r="96" spans="1:24" x14ac:dyDescent="0.25">
      <c r="A96" s="144" t="s">
        <v>92</v>
      </c>
      <c r="B96" s="57" t="s">
        <v>727</v>
      </c>
      <c r="C96" s="21" t="s">
        <v>392</v>
      </c>
      <c r="D96" s="25">
        <f>12*2</f>
        <v>24</v>
      </c>
      <c r="E96" s="18">
        <f>155+155/12+20</f>
        <v>187.91666666666666</v>
      </c>
      <c r="F96" s="48">
        <f t="shared" si="6"/>
        <v>4510</v>
      </c>
      <c r="G96" s="49">
        <f t="shared" si="7"/>
        <v>4510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/>
      <c r="T96" s="231"/>
      <c r="U96" s="225"/>
      <c r="V96" s="225"/>
      <c r="W96" s="231"/>
      <c r="X96" s="231"/>
    </row>
    <row r="97" spans="1:24" ht="26.4" x14ac:dyDescent="0.25">
      <c r="A97" s="144" t="s">
        <v>520</v>
      </c>
      <c r="B97" s="57" t="s">
        <v>728</v>
      </c>
      <c r="C97" s="21" t="s">
        <v>392</v>
      </c>
      <c r="D97" s="25">
        <v>12</v>
      </c>
      <c r="E97" s="18">
        <f>(600*50%)+((600*50%)/12)+20</f>
        <v>345</v>
      </c>
      <c r="F97" s="48">
        <f t="shared" si="6"/>
        <v>4140</v>
      </c>
      <c r="G97" s="49">
        <f t="shared" si="7"/>
        <v>4140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51"/>
      <c r="R97" s="262"/>
      <c r="S97" s="225"/>
      <c r="T97" s="231"/>
      <c r="U97" s="225"/>
      <c r="V97" s="225"/>
      <c r="W97" s="231"/>
      <c r="X97" s="231"/>
    </row>
    <row r="98" spans="1:24" ht="13.5" customHeight="1" x14ac:dyDescent="0.25">
      <c r="A98" s="144" t="s">
        <v>521</v>
      </c>
      <c r="B98" s="57" t="s">
        <v>729</v>
      </c>
      <c r="C98" s="21" t="s">
        <v>392</v>
      </c>
      <c r="D98" s="25">
        <v>12</v>
      </c>
      <c r="E98" s="18">
        <f>(1700*50%)+((1700*50%)/12)+20</f>
        <v>940.83333333333337</v>
      </c>
      <c r="F98" s="48">
        <f t="shared" si="6"/>
        <v>11290</v>
      </c>
      <c r="G98" s="49">
        <f t="shared" si="7"/>
        <v>11290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51"/>
      <c r="R98" s="262"/>
      <c r="S98" s="225">
        <f t="shared" si="1"/>
        <v>-11290</v>
      </c>
      <c r="T98" s="231">
        <f t="shared" si="2"/>
        <v>-1</v>
      </c>
      <c r="U98" s="225">
        <f t="shared" si="3"/>
        <v>0</v>
      </c>
      <c r="V98" s="225">
        <f t="shared" si="4"/>
        <v>-11290</v>
      </c>
      <c r="W98" s="231">
        <f t="shared" si="5"/>
        <v>-1</v>
      </c>
      <c r="X98" s="231"/>
    </row>
    <row r="99" spans="1:24" ht="26.4" x14ac:dyDescent="0.25">
      <c r="A99" s="144" t="s">
        <v>522</v>
      </c>
      <c r="B99" s="57" t="s">
        <v>730</v>
      </c>
      <c r="C99" s="21" t="s">
        <v>392</v>
      </c>
      <c r="D99" s="25">
        <v>12</v>
      </c>
      <c r="E99" s="18">
        <f>(800*50%)+((800*50%)/12)+20</f>
        <v>453.33333333333331</v>
      </c>
      <c r="F99" s="48">
        <f t="shared" si="6"/>
        <v>5440</v>
      </c>
      <c r="G99" s="49">
        <f t="shared" si="7"/>
        <v>5440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51"/>
      <c r="R99" s="262"/>
      <c r="S99" s="225">
        <f t="shared" si="1"/>
        <v>-5440</v>
      </c>
      <c r="T99" s="231">
        <f t="shared" si="2"/>
        <v>-1</v>
      </c>
      <c r="U99" s="225">
        <f t="shared" si="3"/>
        <v>0</v>
      </c>
      <c r="V99" s="225">
        <f t="shared" si="4"/>
        <v>-5440</v>
      </c>
      <c r="W99" s="231">
        <f t="shared" si="5"/>
        <v>-1</v>
      </c>
      <c r="X99" s="231"/>
    </row>
    <row r="100" spans="1:24" x14ac:dyDescent="0.25">
      <c r="A100" s="87"/>
      <c r="B100" s="145"/>
      <c r="C100" s="10"/>
      <c r="D100" s="11"/>
      <c r="E100" s="12"/>
      <c r="F100" s="48"/>
      <c r="G100" s="87"/>
      <c r="H100" s="241"/>
      <c r="I100" s="241"/>
      <c r="J100" s="241"/>
      <c r="K100" s="241"/>
      <c r="L100" s="241"/>
      <c r="M100" s="241"/>
      <c r="N100" s="241"/>
      <c r="O100" s="241"/>
      <c r="P100" s="241"/>
      <c r="Q100" s="252"/>
      <c r="R100" s="258"/>
      <c r="S100" s="225"/>
      <c r="T100" s="231"/>
      <c r="U100" s="225"/>
      <c r="V100" s="225"/>
      <c r="W100" s="231"/>
      <c r="X100" s="231"/>
    </row>
    <row r="101" spans="1:24" hidden="1" x14ac:dyDescent="0.25">
      <c r="A101" s="194"/>
      <c r="B101" s="195" t="s">
        <v>185</v>
      </c>
      <c r="C101" s="196"/>
      <c r="D101" s="197"/>
      <c r="E101" s="198"/>
      <c r="F101" s="199">
        <f>SUM(F83:F89)</f>
        <v>0</v>
      </c>
      <c r="G101" s="194">
        <f>SUM(G83:G89)</f>
        <v>0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>
        <f t="shared" si="1"/>
        <v>0</v>
      </c>
      <c r="T101" s="231">
        <f t="shared" si="2"/>
        <v>0</v>
      </c>
      <c r="U101" s="225">
        <f t="shared" si="3"/>
        <v>0</v>
      </c>
      <c r="V101" s="225">
        <f t="shared" si="4"/>
        <v>0</v>
      </c>
      <c r="W101" s="231">
        <f t="shared" si="5"/>
        <v>0</v>
      </c>
      <c r="X101" s="231"/>
    </row>
    <row r="102" spans="1:24" hidden="1" x14ac:dyDescent="0.25">
      <c r="A102" s="194"/>
      <c r="B102" s="195" t="s">
        <v>184</v>
      </c>
      <c r="C102" s="196"/>
      <c r="D102" s="197"/>
      <c r="E102" s="198"/>
      <c r="F102" s="199">
        <f>SUM(F91:F100)</f>
        <v>42245</v>
      </c>
      <c r="G102" s="194">
        <f>SUM(G91:G100)</f>
        <v>42245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58"/>
      <c r="S102" s="225">
        <f t="shared" si="1"/>
        <v>-42245</v>
      </c>
      <c r="T102" s="231">
        <f t="shared" si="2"/>
        <v>-1</v>
      </c>
      <c r="U102" s="225">
        <f t="shared" si="3"/>
        <v>0</v>
      </c>
      <c r="V102" s="225">
        <f t="shared" si="4"/>
        <v>-42245</v>
      </c>
      <c r="W102" s="231">
        <f t="shared" si="5"/>
        <v>-1</v>
      </c>
      <c r="X102" s="231"/>
    </row>
    <row r="103" spans="1:24" ht="13.8" thickBot="1" x14ac:dyDescent="0.3">
      <c r="A103" s="99"/>
      <c r="B103" s="146" t="s">
        <v>79</v>
      </c>
      <c r="C103" s="118"/>
      <c r="D103" s="122"/>
      <c r="E103" s="123"/>
      <c r="F103" s="50">
        <f>SUM(F81:F99)</f>
        <v>42245</v>
      </c>
      <c r="G103" s="50">
        <f>SUM(G81:G99)</f>
        <v>42245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53"/>
      <c r="R103" s="263"/>
      <c r="S103" s="237">
        <f t="shared" si="1"/>
        <v>-42245</v>
      </c>
      <c r="T103" s="238">
        <f t="shared" si="2"/>
        <v>-1</v>
      </c>
      <c r="U103" s="237">
        <f t="shared" si="3"/>
        <v>0</v>
      </c>
      <c r="V103" s="237">
        <f t="shared" si="4"/>
        <v>-42245</v>
      </c>
      <c r="W103" s="238">
        <f t="shared" si="5"/>
        <v>-1</v>
      </c>
      <c r="X103" s="238"/>
    </row>
    <row r="104" spans="1:24" ht="13.8" thickTop="1" x14ac:dyDescent="0.25">
      <c r="A104" s="87"/>
      <c r="B104" s="70"/>
      <c r="C104" s="81"/>
      <c r="D104" s="82"/>
      <c r="E104" s="86"/>
      <c r="F104" s="86"/>
      <c r="G104" s="87"/>
      <c r="H104" s="241"/>
      <c r="I104" s="241"/>
      <c r="J104" s="241"/>
      <c r="K104" s="241"/>
      <c r="L104" s="241"/>
      <c r="M104" s="241"/>
      <c r="N104" s="241"/>
      <c r="O104" s="241"/>
      <c r="P104" s="241"/>
      <c r="Q104" s="252"/>
      <c r="R104" s="258"/>
      <c r="S104" s="225"/>
      <c r="T104" s="231"/>
      <c r="U104" s="225"/>
      <c r="V104" s="225"/>
      <c r="W104" s="231"/>
      <c r="X104" s="231"/>
    </row>
    <row r="105" spans="1:24" x14ac:dyDescent="0.25">
      <c r="A105" s="125">
        <v>2</v>
      </c>
      <c r="B105" s="126" t="s">
        <v>93</v>
      </c>
      <c r="C105" s="130"/>
      <c r="D105" s="129"/>
      <c r="E105" s="131"/>
      <c r="F105" s="131"/>
      <c r="G105" s="147"/>
      <c r="H105" s="241"/>
      <c r="I105" s="241"/>
      <c r="J105" s="241"/>
      <c r="K105" s="241"/>
      <c r="L105" s="241"/>
      <c r="M105" s="241"/>
      <c r="N105" s="241"/>
      <c r="O105" s="241"/>
      <c r="P105" s="241"/>
      <c r="Q105" s="252"/>
      <c r="R105" s="260"/>
      <c r="S105" s="230"/>
      <c r="T105" s="232"/>
      <c r="U105" s="230"/>
      <c r="V105" s="230"/>
      <c r="W105" s="232"/>
      <c r="X105" s="232"/>
    </row>
    <row r="106" spans="1:24" hidden="1" x14ac:dyDescent="0.25">
      <c r="A106" s="220" t="s">
        <v>94</v>
      </c>
      <c r="B106" s="221" t="s">
        <v>66</v>
      </c>
      <c r="C106" s="217"/>
      <c r="D106" s="218"/>
      <c r="E106" s="219"/>
      <c r="F106" s="208">
        <f>SUM(F107:F111)</f>
        <v>0</v>
      </c>
      <c r="G106" s="209">
        <f>SUM(G107:G111)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39">
        <f t="shared" si="1"/>
        <v>0</v>
      </c>
      <c r="T106" s="240">
        <f t="shared" si="2"/>
        <v>0</v>
      </c>
      <c r="U106" s="239">
        <f t="shared" si="3"/>
        <v>0</v>
      </c>
      <c r="V106" s="239">
        <f t="shared" si="4"/>
        <v>0</v>
      </c>
      <c r="W106" s="240">
        <f t="shared" si="5"/>
        <v>0</v>
      </c>
      <c r="X106" s="240"/>
    </row>
    <row r="107" spans="1:24" hidden="1" x14ac:dyDescent="0.25">
      <c r="A107" s="148" t="s">
        <v>195</v>
      </c>
      <c r="B107" s="106" t="s">
        <v>249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196</v>
      </c>
      <c r="B108" s="106" t="s">
        <v>250</v>
      </c>
      <c r="C108" s="28"/>
      <c r="D108" s="29"/>
      <c r="E108" s="30"/>
      <c r="F108" s="48">
        <f>D108*E108</f>
        <v>0</v>
      </c>
      <c r="G108" s="49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hidden="1" x14ac:dyDescent="0.25">
      <c r="A109" s="148" t="s">
        <v>197</v>
      </c>
      <c r="B109" s="106" t="s">
        <v>251</v>
      </c>
      <c r="C109" s="28"/>
      <c r="D109" s="29"/>
      <c r="E109" s="30"/>
      <c r="F109" s="48">
        <f>D109*E109</f>
        <v>0</v>
      </c>
      <c r="G109" s="49">
        <f>F109*C4</f>
        <v>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25">
        <f t="shared" si="1"/>
        <v>0</v>
      </c>
      <c r="T109" s="231">
        <f t="shared" si="2"/>
        <v>0</v>
      </c>
      <c r="U109" s="225">
        <f t="shared" si="3"/>
        <v>0</v>
      </c>
      <c r="V109" s="225">
        <f t="shared" si="4"/>
        <v>0</v>
      </c>
      <c r="W109" s="231">
        <f t="shared" si="5"/>
        <v>0</v>
      </c>
      <c r="X109" s="231"/>
    </row>
    <row r="110" spans="1:24" hidden="1" x14ac:dyDescent="0.25">
      <c r="A110" s="148" t="s">
        <v>198</v>
      </c>
      <c r="B110" s="106" t="s">
        <v>252</v>
      </c>
      <c r="C110" s="28"/>
      <c r="D110" s="29"/>
      <c r="E110" s="30"/>
      <c r="F110" s="48">
        <f>D110*E110</f>
        <v>0</v>
      </c>
      <c r="G110" s="49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hidden="1" x14ac:dyDescent="0.25">
      <c r="A111" s="148" t="s">
        <v>199</v>
      </c>
      <c r="B111" s="106" t="s">
        <v>253</v>
      </c>
      <c r="C111" s="28"/>
      <c r="D111" s="29"/>
      <c r="E111" s="30"/>
      <c r="F111" s="48">
        <f>D111*E111</f>
        <v>0</v>
      </c>
      <c r="G111" s="49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220" t="s">
        <v>95</v>
      </c>
      <c r="B112" s="221" t="s">
        <v>55</v>
      </c>
      <c r="C112" s="217"/>
      <c r="D112" s="218"/>
      <c r="E112" s="219"/>
      <c r="F112" s="208">
        <f>SUM(F113:F117)</f>
        <v>0</v>
      </c>
      <c r="G112" s="209">
        <f>SUM(G113:G117)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39">
        <f t="shared" si="1"/>
        <v>0</v>
      </c>
      <c r="T112" s="240">
        <f t="shared" si="2"/>
        <v>0</v>
      </c>
      <c r="U112" s="239">
        <f t="shared" si="3"/>
        <v>0</v>
      </c>
      <c r="V112" s="239">
        <f t="shared" si="4"/>
        <v>0</v>
      </c>
      <c r="W112" s="240">
        <f t="shared" si="5"/>
        <v>0</v>
      </c>
      <c r="X112" s="240"/>
    </row>
    <row r="113" spans="1:24" hidden="1" x14ac:dyDescent="0.25">
      <c r="A113" s="148" t="s">
        <v>200</v>
      </c>
      <c r="B113" s="106" t="s">
        <v>254</v>
      </c>
      <c r="C113" s="28"/>
      <c r="D113" s="29"/>
      <c r="E113" s="30"/>
      <c r="F113" s="48">
        <f>D113*E113</f>
        <v>0</v>
      </c>
      <c r="G113" s="49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201</v>
      </c>
      <c r="B114" s="106" t="s">
        <v>258</v>
      </c>
      <c r="C114" s="28"/>
      <c r="D114" s="29"/>
      <c r="E114" s="30"/>
      <c r="F114" s="48">
        <f>D114*E114</f>
        <v>0</v>
      </c>
      <c r="G114" s="49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148" t="s">
        <v>202</v>
      </c>
      <c r="B115" s="106" t="s">
        <v>257</v>
      </c>
      <c r="C115" s="28"/>
      <c r="D115" s="29"/>
      <c r="E115" s="30"/>
      <c r="F115" s="48">
        <f>D115*E115</f>
        <v>0</v>
      </c>
      <c r="G115" s="49">
        <f>F115*C4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25">
        <f t="shared" si="1"/>
        <v>0</v>
      </c>
      <c r="T115" s="231">
        <f t="shared" si="2"/>
        <v>0</v>
      </c>
      <c r="U115" s="225">
        <f t="shared" si="3"/>
        <v>0</v>
      </c>
      <c r="V115" s="225">
        <f t="shared" si="4"/>
        <v>0</v>
      </c>
      <c r="W115" s="231">
        <f t="shared" si="5"/>
        <v>0</v>
      </c>
      <c r="X115" s="231"/>
    </row>
    <row r="116" spans="1:24" hidden="1" x14ac:dyDescent="0.25">
      <c r="A116" s="148" t="s">
        <v>203</v>
      </c>
      <c r="B116" s="106" t="s">
        <v>256</v>
      </c>
      <c r="C116" s="28"/>
      <c r="D116" s="29"/>
      <c r="E116" s="30"/>
      <c r="F116" s="48">
        <f>D116*E116</f>
        <v>0</v>
      </c>
      <c r="G116" s="49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204</v>
      </c>
      <c r="B117" s="106" t="s">
        <v>255</v>
      </c>
      <c r="C117" s="28"/>
      <c r="D117" s="29"/>
      <c r="E117" s="30"/>
      <c r="F117" s="48">
        <f>D117*E117</f>
        <v>0</v>
      </c>
      <c r="G117" s="49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x14ac:dyDescent="0.25">
      <c r="A118" s="220" t="s">
        <v>96</v>
      </c>
      <c r="B118" s="221" t="s">
        <v>67</v>
      </c>
      <c r="C118" s="217"/>
      <c r="D118" s="218"/>
      <c r="E118" s="219"/>
      <c r="F118" s="208">
        <f>SUM(F119:F123)</f>
        <v>57375</v>
      </c>
      <c r="G118" s="209">
        <f>SUM(G119:G123)</f>
        <v>57375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39">
        <f t="shared" si="1"/>
        <v>-57375</v>
      </c>
      <c r="T118" s="240">
        <f t="shared" si="2"/>
        <v>-1</v>
      </c>
      <c r="U118" s="239">
        <f t="shared" si="3"/>
        <v>0</v>
      </c>
      <c r="V118" s="239">
        <f t="shared" si="4"/>
        <v>-57375</v>
      </c>
      <c r="W118" s="240">
        <f t="shared" si="5"/>
        <v>-1</v>
      </c>
      <c r="X118" s="240"/>
    </row>
    <row r="119" spans="1:24" x14ac:dyDescent="0.25">
      <c r="A119" s="148" t="s">
        <v>205</v>
      </c>
      <c r="B119" s="106" t="s">
        <v>731</v>
      </c>
      <c r="C119" s="28" t="s">
        <v>732</v>
      </c>
      <c r="D119" s="281">
        <v>75</v>
      </c>
      <c r="E119" s="282">
        <f>75*3</f>
        <v>225</v>
      </c>
      <c r="F119" s="48">
        <f>D119*E119</f>
        <v>16875</v>
      </c>
      <c r="G119" s="49">
        <f>F119*C4</f>
        <v>16875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-16875</v>
      </c>
      <c r="T119" s="231">
        <f t="shared" si="2"/>
        <v>-1</v>
      </c>
      <c r="U119" s="225">
        <f t="shared" si="3"/>
        <v>0</v>
      </c>
      <c r="V119" s="225">
        <f t="shared" si="4"/>
        <v>-16875</v>
      </c>
      <c r="W119" s="231">
        <f t="shared" si="5"/>
        <v>-1</v>
      </c>
      <c r="X119" s="231"/>
    </row>
    <row r="120" spans="1:24" x14ac:dyDescent="0.25">
      <c r="A120" s="148" t="s">
        <v>206</v>
      </c>
      <c r="B120" s="106" t="s">
        <v>733</v>
      </c>
      <c r="C120" s="357" t="s">
        <v>732</v>
      </c>
      <c r="D120" s="281">
        <v>50</v>
      </c>
      <c r="E120" s="282">
        <v>780</v>
      </c>
      <c r="F120" s="48">
        <f>D120*E120</f>
        <v>39000</v>
      </c>
      <c r="G120" s="49">
        <f>F120*C4</f>
        <v>39000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-39000</v>
      </c>
      <c r="T120" s="231">
        <f t="shared" si="2"/>
        <v>-1</v>
      </c>
      <c r="U120" s="225">
        <f t="shared" si="3"/>
        <v>0</v>
      </c>
      <c r="V120" s="225">
        <f t="shared" si="4"/>
        <v>-39000</v>
      </c>
      <c r="W120" s="231">
        <f t="shared" si="5"/>
        <v>-1</v>
      </c>
      <c r="X120" s="231"/>
    </row>
    <row r="121" spans="1:24" x14ac:dyDescent="0.25">
      <c r="A121" s="148" t="s">
        <v>207</v>
      </c>
      <c r="B121" s="106" t="s">
        <v>734</v>
      </c>
      <c r="C121" s="28" t="s">
        <v>732</v>
      </c>
      <c r="D121" s="281">
        <v>75</v>
      </c>
      <c r="E121" s="282">
        <v>20</v>
      </c>
      <c r="F121" s="48">
        <f>D121*E121</f>
        <v>1500</v>
      </c>
      <c r="G121" s="49">
        <f>F121*C4</f>
        <v>1500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25">
        <f t="shared" si="1"/>
        <v>-1500</v>
      </c>
      <c r="T121" s="231">
        <f t="shared" si="2"/>
        <v>-1</v>
      </c>
      <c r="U121" s="225">
        <f t="shared" si="3"/>
        <v>0</v>
      </c>
      <c r="V121" s="225">
        <f t="shared" si="4"/>
        <v>-1500</v>
      </c>
      <c r="W121" s="231">
        <f t="shared" si="5"/>
        <v>-1</v>
      </c>
      <c r="X121" s="231"/>
    </row>
    <row r="122" spans="1:24" hidden="1" x14ac:dyDescent="0.25">
      <c r="A122" s="148" t="s">
        <v>208</v>
      </c>
      <c r="B122" s="106" t="s">
        <v>262</v>
      </c>
      <c r="C122" s="28"/>
      <c r="D122" s="29"/>
      <c r="E122" s="30"/>
      <c r="F122" s="48">
        <f>D122*E122</f>
        <v>0</v>
      </c>
      <c r="G122" s="49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0</v>
      </c>
      <c r="T122" s="231">
        <f t="shared" si="2"/>
        <v>0</v>
      </c>
      <c r="U122" s="225">
        <f t="shared" si="3"/>
        <v>0</v>
      </c>
      <c r="V122" s="225">
        <f t="shared" si="4"/>
        <v>0</v>
      </c>
      <c r="W122" s="231">
        <f t="shared" si="5"/>
        <v>0</v>
      </c>
      <c r="X122" s="231"/>
    </row>
    <row r="123" spans="1:24" hidden="1" x14ac:dyDescent="0.25">
      <c r="A123" s="148" t="s">
        <v>209</v>
      </c>
      <c r="B123" s="106" t="s">
        <v>263</v>
      </c>
      <c r="C123" s="28"/>
      <c r="D123" s="29"/>
      <c r="E123" s="30"/>
      <c r="F123" s="48">
        <f>D123*E123</f>
        <v>0</v>
      </c>
      <c r="G123" s="49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0</v>
      </c>
      <c r="T123" s="231">
        <f t="shared" si="2"/>
        <v>0</v>
      </c>
      <c r="U123" s="225">
        <f t="shared" si="3"/>
        <v>0</v>
      </c>
      <c r="V123" s="225">
        <f t="shared" si="4"/>
        <v>0</v>
      </c>
      <c r="W123" s="231">
        <f t="shared" si="5"/>
        <v>0</v>
      </c>
      <c r="X123" s="231"/>
    </row>
    <row r="124" spans="1:24" x14ac:dyDescent="0.25">
      <c r="A124" s="220" t="s">
        <v>97</v>
      </c>
      <c r="B124" s="221" t="s">
        <v>68</v>
      </c>
      <c r="C124" s="217"/>
      <c r="D124" s="218"/>
      <c r="E124" s="219"/>
      <c r="F124" s="208">
        <f>SUM(F125:F129)</f>
        <v>72000</v>
      </c>
      <c r="G124" s="209">
        <f>SUM(G125:G129)</f>
        <v>72000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39">
        <f t="shared" si="1"/>
        <v>-72000</v>
      </c>
      <c r="T124" s="240">
        <f t="shared" si="2"/>
        <v>-1</v>
      </c>
      <c r="U124" s="239">
        <f t="shared" si="3"/>
        <v>0</v>
      </c>
      <c r="V124" s="239">
        <f t="shared" si="4"/>
        <v>-72000</v>
      </c>
      <c r="W124" s="240">
        <f t="shared" si="5"/>
        <v>-1</v>
      </c>
      <c r="X124" s="240"/>
    </row>
    <row r="125" spans="1:24" x14ac:dyDescent="0.25">
      <c r="A125" s="148" t="s">
        <v>210</v>
      </c>
      <c r="B125" s="106" t="s">
        <v>735</v>
      </c>
      <c r="C125" s="28" t="s">
        <v>736</v>
      </c>
      <c r="D125" s="281">
        <v>100</v>
      </c>
      <c r="E125" s="282">
        <v>600</v>
      </c>
      <c r="F125" s="48">
        <f>D125*E125</f>
        <v>60000</v>
      </c>
      <c r="G125" s="49">
        <f>F125*C4</f>
        <v>60000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-60000</v>
      </c>
      <c r="T125" s="231">
        <f t="shared" si="2"/>
        <v>-1</v>
      </c>
      <c r="U125" s="225">
        <f t="shared" si="3"/>
        <v>0</v>
      </c>
      <c r="V125" s="225">
        <f t="shared" si="4"/>
        <v>-60000</v>
      </c>
      <c r="W125" s="231">
        <f t="shared" si="5"/>
        <v>-1</v>
      </c>
      <c r="X125" s="231"/>
    </row>
    <row r="126" spans="1:24" x14ac:dyDescent="0.25">
      <c r="A126" s="148" t="s">
        <v>211</v>
      </c>
      <c r="B126" s="106" t="s">
        <v>737</v>
      </c>
      <c r="C126" s="28" t="s">
        <v>736</v>
      </c>
      <c r="D126" s="281">
        <v>100</v>
      </c>
      <c r="E126" s="282">
        <f>20*6</f>
        <v>120</v>
      </c>
      <c r="F126" s="48">
        <f>D126*E126</f>
        <v>12000</v>
      </c>
      <c r="G126" s="49">
        <f>F126*C4</f>
        <v>12000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-12000</v>
      </c>
      <c r="T126" s="231">
        <f t="shared" si="2"/>
        <v>-1</v>
      </c>
      <c r="U126" s="225">
        <f t="shared" si="3"/>
        <v>0</v>
      </c>
      <c r="V126" s="225">
        <f t="shared" si="4"/>
        <v>-12000</v>
      </c>
      <c r="W126" s="231">
        <f t="shared" si="5"/>
        <v>-1</v>
      </c>
      <c r="X126" s="231"/>
    </row>
    <row r="127" spans="1:24" hidden="1" x14ac:dyDescent="0.25">
      <c r="A127" s="148" t="s">
        <v>212</v>
      </c>
      <c r="B127" s="106" t="s">
        <v>266</v>
      </c>
      <c r="C127" s="28"/>
      <c r="D127" s="29"/>
      <c r="E127" s="30"/>
      <c r="F127" s="48">
        <f>D127*E127</f>
        <v>0</v>
      </c>
      <c r="G127" s="49">
        <f>F127*C4</f>
        <v>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25">
        <f t="shared" si="1"/>
        <v>0</v>
      </c>
      <c r="T127" s="231">
        <f t="shared" si="2"/>
        <v>0</v>
      </c>
      <c r="U127" s="225">
        <f t="shared" si="3"/>
        <v>0</v>
      </c>
      <c r="V127" s="225">
        <f t="shared" si="4"/>
        <v>0</v>
      </c>
      <c r="W127" s="231">
        <f t="shared" si="5"/>
        <v>0</v>
      </c>
      <c r="X127" s="231"/>
    </row>
    <row r="128" spans="1:24" hidden="1" x14ac:dyDescent="0.25">
      <c r="A128" s="148" t="s">
        <v>213</v>
      </c>
      <c r="B128" s="106" t="s">
        <v>267</v>
      </c>
      <c r="C128" s="28"/>
      <c r="D128" s="29"/>
      <c r="E128" s="30"/>
      <c r="F128" s="48">
        <f>D128*E128</f>
        <v>0</v>
      </c>
      <c r="G128" s="49">
        <f>F128*C4</f>
        <v>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0</v>
      </c>
      <c r="T128" s="231">
        <f t="shared" si="2"/>
        <v>0</v>
      </c>
      <c r="U128" s="225">
        <f t="shared" si="3"/>
        <v>0</v>
      </c>
      <c r="V128" s="225">
        <f t="shared" si="4"/>
        <v>0</v>
      </c>
      <c r="W128" s="231">
        <f t="shared" si="5"/>
        <v>0</v>
      </c>
      <c r="X128" s="231"/>
    </row>
    <row r="129" spans="1:24" hidden="1" x14ac:dyDescent="0.25">
      <c r="A129" s="148" t="s">
        <v>214</v>
      </c>
      <c r="B129" s="106" t="s">
        <v>268</v>
      </c>
      <c r="C129" s="28"/>
      <c r="D129" s="29"/>
      <c r="E129" s="30"/>
      <c r="F129" s="48">
        <f>D129*E129</f>
        <v>0</v>
      </c>
      <c r="G129" s="49">
        <f>F129*C4</f>
        <v>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0</v>
      </c>
      <c r="T129" s="231">
        <f t="shared" si="2"/>
        <v>0</v>
      </c>
      <c r="U129" s="225">
        <f t="shared" si="3"/>
        <v>0</v>
      </c>
      <c r="V129" s="225">
        <f t="shared" si="4"/>
        <v>0</v>
      </c>
      <c r="W129" s="231">
        <f t="shared" si="5"/>
        <v>0</v>
      </c>
      <c r="X129" s="231"/>
    </row>
    <row r="130" spans="1:24" x14ac:dyDescent="0.25">
      <c r="A130" s="220" t="s">
        <v>98</v>
      </c>
      <c r="B130" s="221" t="s">
        <v>69</v>
      </c>
      <c r="C130" s="217"/>
      <c r="D130" s="218"/>
      <c r="E130" s="219"/>
      <c r="F130" s="208">
        <f>SUM(F131:F135)</f>
        <v>13000</v>
      </c>
      <c r="G130" s="209">
        <f>SUM(G131:G135)</f>
        <v>13000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39">
        <f t="shared" si="1"/>
        <v>-13000</v>
      </c>
      <c r="T130" s="240">
        <f t="shared" si="2"/>
        <v>-1</v>
      </c>
      <c r="U130" s="239">
        <f t="shared" si="3"/>
        <v>0</v>
      </c>
      <c r="V130" s="239">
        <f t="shared" si="4"/>
        <v>-13000</v>
      </c>
      <c r="W130" s="240">
        <f t="shared" si="5"/>
        <v>-1</v>
      </c>
      <c r="X130" s="240"/>
    </row>
    <row r="131" spans="1:24" x14ac:dyDescent="0.25">
      <c r="A131" s="148" t="s">
        <v>215</v>
      </c>
      <c r="B131" s="106" t="s">
        <v>738</v>
      </c>
      <c r="C131" s="28" t="s">
        <v>705</v>
      </c>
      <c r="D131" s="281">
        <v>200</v>
      </c>
      <c r="E131" s="282">
        <v>65</v>
      </c>
      <c r="F131" s="48">
        <f>D131*E131</f>
        <v>13000</v>
      </c>
      <c r="G131" s="49">
        <f>F131*C4</f>
        <v>13000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-13000</v>
      </c>
      <c r="T131" s="231">
        <f t="shared" si="2"/>
        <v>-1</v>
      </c>
      <c r="U131" s="225">
        <f t="shared" si="3"/>
        <v>0</v>
      </c>
      <c r="V131" s="225">
        <f t="shared" si="4"/>
        <v>-13000</v>
      </c>
      <c r="W131" s="231">
        <f t="shared" si="5"/>
        <v>-1</v>
      </c>
      <c r="X131" s="231"/>
    </row>
    <row r="132" spans="1:24" hidden="1" x14ac:dyDescent="0.25">
      <c r="A132" s="148" t="s">
        <v>216</v>
      </c>
      <c r="B132" s="106" t="s">
        <v>270</v>
      </c>
      <c r="C132" s="28"/>
      <c r="D132" s="29"/>
      <c r="E132" s="30"/>
      <c r="F132" s="48">
        <f>D132*E132</f>
        <v>0</v>
      </c>
      <c r="G132" s="49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hidden="1" x14ac:dyDescent="0.25">
      <c r="A133" s="148" t="s">
        <v>217</v>
      </c>
      <c r="B133" s="106" t="s">
        <v>271</v>
      </c>
      <c r="C133" s="28"/>
      <c r="D133" s="29"/>
      <c r="E133" s="30"/>
      <c r="F133" s="48">
        <f>D133*E133</f>
        <v>0</v>
      </c>
      <c r="G133" s="49">
        <f>F133*C4</f>
        <v>0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1"/>
        <v>0</v>
      </c>
      <c r="T133" s="231">
        <f t="shared" si="2"/>
        <v>0</v>
      </c>
      <c r="U133" s="225">
        <f t="shared" si="3"/>
        <v>0</v>
      </c>
      <c r="V133" s="225">
        <f t="shared" si="4"/>
        <v>0</v>
      </c>
      <c r="W133" s="231">
        <f t="shared" si="5"/>
        <v>0</v>
      </c>
      <c r="X133" s="231"/>
    </row>
    <row r="134" spans="1:24" hidden="1" x14ac:dyDescent="0.25">
      <c r="A134" s="148" t="s">
        <v>218</v>
      </c>
      <c r="B134" s="106" t="s">
        <v>272</v>
      </c>
      <c r="C134" s="28"/>
      <c r="D134" s="29"/>
      <c r="E134" s="30"/>
      <c r="F134" s="48">
        <f>D134*E134</f>
        <v>0</v>
      </c>
      <c r="G134" s="49">
        <f>F134*C4</f>
        <v>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0</v>
      </c>
      <c r="T134" s="231">
        <f t="shared" si="2"/>
        <v>0</v>
      </c>
      <c r="U134" s="225">
        <f t="shared" si="3"/>
        <v>0</v>
      </c>
      <c r="V134" s="225">
        <f t="shared" si="4"/>
        <v>0</v>
      </c>
      <c r="W134" s="231">
        <f t="shared" si="5"/>
        <v>0</v>
      </c>
      <c r="X134" s="231"/>
    </row>
    <row r="135" spans="1:24" hidden="1" x14ac:dyDescent="0.25">
      <c r="A135" s="148" t="s">
        <v>219</v>
      </c>
      <c r="B135" s="106" t="s">
        <v>273</v>
      </c>
      <c r="C135" s="28"/>
      <c r="D135" s="29"/>
      <c r="E135" s="30"/>
      <c r="F135" s="48">
        <f>D135*E135</f>
        <v>0</v>
      </c>
      <c r="G135" s="49">
        <f>F135*C4</f>
        <v>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0</v>
      </c>
      <c r="T135" s="231">
        <f t="shared" si="2"/>
        <v>0</v>
      </c>
      <c r="U135" s="225">
        <f t="shared" si="3"/>
        <v>0</v>
      </c>
      <c r="V135" s="225">
        <f t="shared" si="4"/>
        <v>0</v>
      </c>
      <c r="W135" s="231">
        <f t="shared" si="5"/>
        <v>0</v>
      </c>
      <c r="X135" s="231"/>
    </row>
    <row r="136" spans="1:24" x14ac:dyDescent="0.25">
      <c r="A136" s="220" t="s">
        <v>99</v>
      </c>
      <c r="B136" s="221" t="s">
        <v>54</v>
      </c>
      <c r="C136" s="217"/>
      <c r="D136" s="218"/>
      <c r="E136" s="219"/>
      <c r="F136" s="208">
        <f>SUM(F137:F141)</f>
        <v>211125</v>
      </c>
      <c r="G136" s="209">
        <f>SUM(G137:G141)</f>
        <v>211125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39">
        <f t="shared" si="1"/>
        <v>-211125</v>
      </c>
      <c r="T136" s="240">
        <f t="shared" si="2"/>
        <v>-1</v>
      </c>
      <c r="U136" s="239">
        <f t="shared" si="3"/>
        <v>0</v>
      </c>
      <c r="V136" s="239">
        <f t="shared" si="4"/>
        <v>-211125</v>
      </c>
      <c r="W136" s="240">
        <f t="shared" si="5"/>
        <v>-1</v>
      </c>
      <c r="X136" s="240"/>
    </row>
    <row r="137" spans="1:24" x14ac:dyDescent="0.25">
      <c r="A137" s="148" t="s">
        <v>220</v>
      </c>
      <c r="B137" s="106" t="s">
        <v>739</v>
      </c>
      <c r="C137" s="28" t="s">
        <v>705</v>
      </c>
      <c r="D137" s="281">
        <v>200</v>
      </c>
      <c r="E137" s="282">
        <v>250</v>
      </c>
      <c r="F137" s="48">
        <f>D137*E137</f>
        <v>50000</v>
      </c>
      <c r="G137" s="49">
        <f>F137*C4</f>
        <v>50000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-50000</v>
      </c>
      <c r="T137" s="231">
        <f t="shared" si="2"/>
        <v>-1</v>
      </c>
      <c r="U137" s="225">
        <f t="shared" si="3"/>
        <v>0</v>
      </c>
      <c r="V137" s="225">
        <f t="shared" si="4"/>
        <v>-50000</v>
      </c>
      <c r="W137" s="231">
        <f t="shared" si="5"/>
        <v>-1</v>
      </c>
      <c r="X137" s="231"/>
    </row>
    <row r="138" spans="1:24" x14ac:dyDescent="0.25">
      <c r="A138" s="148" t="s">
        <v>221</v>
      </c>
      <c r="B138" s="106" t="s">
        <v>740</v>
      </c>
      <c r="C138" s="28" t="s">
        <v>705</v>
      </c>
      <c r="D138" s="281">
        <v>235</v>
      </c>
      <c r="E138" s="282">
        <v>125</v>
      </c>
      <c r="F138" s="48">
        <f>D138*E138</f>
        <v>29375</v>
      </c>
      <c r="G138" s="49">
        <f>F138*C4</f>
        <v>29375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-29375</v>
      </c>
      <c r="T138" s="231">
        <f t="shared" si="2"/>
        <v>-1</v>
      </c>
      <c r="U138" s="225">
        <f t="shared" si="3"/>
        <v>0</v>
      </c>
      <c r="V138" s="225">
        <f t="shared" si="4"/>
        <v>-29375</v>
      </c>
      <c r="W138" s="231">
        <f t="shared" si="5"/>
        <v>-1</v>
      </c>
      <c r="X138" s="231"/>
    </row>
    <row r="139" spans="1:24" x14ac:dyDescent="0.25">
      <c r="A139" s="148" t="s">
        <v>222</v>
      </c>
      <c r="B139" s="106" t="s">
        <v>741</v>
      </c>
      <c r="C139" s="28" t="s">
        <v>705</v>
      </c>
      <c r="D139" s="281">
        <v>110</v>
      </c>
      <c r="E139" s="282">
        <v>125</v>
      </c>
      <c r="F139" s="48">
        <f>D139*E139</f>
        <v>13750</v>
      </c>
      <c r="G139" s="49">
        <f>F139*C4</f>
        <v>13750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25">
        <f t="shared" si="1"/>
        <v>-13750</v>
      </c>
      <c r="T139" s="231">
        <f t="shared" si="2"/>
        <v>-1</v>
      </c>
      <c r="U139" s="225">
        <f t="shared" si="3"/>
        <v>0</v>
      </c>
      <c r="V139" s="225">
        <f t="shared" si="4"/>
        <v>-13750</v>
      </c>
      <c r="W139" s="231">
        <f t="shared" si="5"/>
        <v>-1</v>
      </c>
      <c r="X139" s="231"/>
    </row>
    <row r="140" spans="1:24" x14ac:dyDescent="0.25">
      <c r="A140" s="148" t="s">
        <v>223</v>
      </c>
      <c r="B140" s="106" t="s">
        <v>742</v>
      </c>
      <c r="C140" s="28" t="s">
        <v>705</v>
      </c>
      <c r="D140" s="281">
        <v>60</v>
      </c>
      <c r="E140" s="282">
        <v>800</v>
      </c>
      <c r="F140" s="48">
        <f>D140*E140</f>
        <v>48000</v>
      </c>
      <c r="G140" s="49">
        <f>F140*C4</f>
        <v>48000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1"/>
        <v>-48000</v>
      </c>
      <c r="T140" s="231">
        <f t="shared" si="2"/>
        <v>-1</v>
      </c>
      <c r="U140" s="225">
        <f t="shared" si="3"/>
        <v>0</v>
      </c>
      <c r="V140" s="225">
        <f t="shared" si="4"/>
        <v>-48000</v>
      </c>
      <c r="W140" s="231">
        <f t="shared" si="5"/>
        <v>-1</v>
      </c>
      <c r="X140" s="231"/>
    </row>
    <row r="141" spans="1:24" x14ac:dyDescent="0.25">
      <c r="A141" s="148" t="s">
        <v>224</v>
      </c>
      <c r="B141" s="106" t="s">
        <v>743</v>
      </c>
      <c r="C141" s="28" t="s">
        <v>705</v>
      </c>
      <c r="D141" s="281">
        <v>35</v>
      </c>
      <c r="E141" s="282">
        <v>2000</v>
      </c>
      <c r="F141" s="48">
        <f>D141*E141</f>
        <v>70000</v>
      </c>
      <c r="G141" s="49">
        <f>F141*C4</f>
        <v>70000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-70000</v>
      </c>
      <c r="T141" s="231">
        <f t="shared" si="2"/>
        <v>-1</v>
      </c>
      <c r="U141" s="225">
        <f t="shared" si="3"/>
        <v>0</v>
      </c>
      <c r="V141" s="225">
        <f t="shared" si="4"/>
        <v>-70000</v>
      </c>
      <c r="W141" s="231">
        <f t="shared" si="5"/>
        <v>-1</v>
      </c>
      <c r="X141" s="231"/>
    </row>
    <row r="142" spans="1:24" x14ac:dyDescent="0.25">
      <c r="A142" s="220" t="s">
        <v>100</v>
      </c>
      <c r="B142" s="221" t="s">
        <v>53</v>
      </c>
      <c r="C142" s="217"/>
      <c r="D142" s="218"/>
      <c r="E142" s="219"/>
      <c r="F142" s="208">
        <f>SUM(F143:F147)</f>
        <v>92500</v>
      </c>
      <c r="G142" s="209">
        <f>SUM(G143:G147)</f>
        <v>92500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39">
        <f t="shared" si="1"/>
        <v>-92500</v>
      </c>
      <c r="T142" s="240">
        <f t="shared" si="2"/>
        <v>-1</v>
      </c>
      <c r="U142" s="239">
        <f t="shared" si="3"/>
        <v>0</v>
      </c>
      <c r="V142" s="239">
        <f t="shared" si="4"/>
        <v>-92500</v>
      </c>
      <c r="W142" s="240">
        <f t="shared" si="5"/>
        <v>-1</v>
      </c>
      <c r="X142" s="240"/>
    </row>
    <row r="143" spans="1:24" x14ac:dyDescent="0.25">
      <c r="A143" s="148" t="s">
        <v>225</v>
      </c>
      <c r="B143" s="106" t="s">
        <v>708</v>
      </c>
      <c r="C143" s="28" t="s">
        <v>614</v>
      </c>
      <c r="D143" s="281">
        <v>250</v>
      </c>
      <c r="E143" s="282">
        <v>250</v>
      </c>
      <c r="F143" s="48">
        <f>D143*E143</f>
        <v>62500</v>
      </c>
      <c r="G143" s="49">
        <f>F143*C4</f>
        <v>62500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-62500</v>
      </c>
      <c r="T143" s="231">
        <f t="shared" si="2"/>
        <v>-1</v>
      </c>
      <c r="U143" s="225">
        <f t="shared" si="3"/>
        <v>0</v>
      </c>
      <c r="V143" s="225">
        <f t="shared" si="4"/>
        <v>-62500</v>
      </c>
      <c r="W143" s="231">
        <f t="shared" si="5"/>
        <v>-1</v>
      </c>
      <c r="X143" s="231"/>
    </row>
    <row r="144" spans="1:24" x14ac:dyDescent="0.25">
      <c r="A144" s="148" t="s">
        <v>226</v>
      </c>
      <c r="B144" s="106" t="s">
        <v>709</v>
      </c>
      <c r="C144" s="28" t="s">
        <v>614</v>
      </c>
      <c r="D144" s="281">
        <v>100</v>
      </c>
      <c r="E144" s="282">
        <v>100</v>
      </c>
      <c r="F144" s="48">
        <f>D144*E144</f>
        <v>10000</v>
      </c>
      <c r="G144" s="49">
        <f>F144*C4</f>
        <v>10000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-10000</v>
      </c>
      <c r="T144" s="231">
        <f t="shared" si="2"/>
        <v>-1</v>
      </c>
      <c r="U144" s="225">
        <f t="shared" si="3"/>
        <v>0</v>
      </c>
      <c r="V144" s="225">
        <f t="shared" si="4"/>
        <v>-10000</v>
      </c>
      <c r="W144" s="231">
        <f t="shared" si="5"/>
        <v>-1</v>
      </c>
      <c r="X144" s="231"/>
    </row>
    <row r="145" spans="1:24" x14ac:dyDescent="0.25">
      <c r="A145" s="148" t="s">
        <v>227</v>
      </c>
      <c r="B145" s="106" t="s">
        <v>744</v>
      </c>
      <c r="C145" s="28" t="s">
        <v>614</v>
      </c>
      <c r="D145" s="281">
        <v>20</v>
      </c>
      <c r="E145" s="282">
        <v>1000</v>
      </c>
      <c r="F145" s="48">
        <f>D145*E145</f>
        <v>20000</v>
      </c>
      <c r="G145" s="49">
        <f>F145*C4</f>
        <v>20000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>
        <f t="shared" si="1"/>
        <v>-20000</v>
      </c>
      <c r="T145" s="231">
        <f t="shared" si="2"/>
        <v>-1</v>
      </c>
      <c r="U145" s="225">
        <f t="shared" si="3"/>
        <v>0</v>
      </c>
      <c r="V145" s="225">
        <f t="shared" si="4"/>
        <v>-20000</v>
      </c>
      <c r="W145" s="231">
        <f t="shared" si="5"/>
        <v>-1</v>
      </c>
      <c r="X145" s="231"/>
    </row>
    <row r="146" spans="1:24" hidden="1" x14ac:dyDescent="0.25">
      <c r="A146" s="148" t="s">
        <v>228</v>
      </c>
      <c r="B146" s="106" t="s">
        <v>282</v>
      </c>
      <c r="C146" s="28"/>
      <c r="D146" s="29"/>
      <c r="E146" s="30"/>
      <c r="F146" s="48">
        <f>D146*E146</f>
        <v>0</v>
      </c>
      <c r="G146" s="49">
        <f>F146*C4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1"/>
        <v>0</v>
      </c>
      <c r="T146" s="231">
        <f t="shared" si="2"/>
        <v>0</v>
      </c>
      <c r="U146" s="225">
        <f t="shared" si="3"/>
        <v>0</v>
      </c>
      <c r="V146" s="225">
        <f t="shared" si="4"/>
        <v>0</v>
      </c>
      <c r="W146" s="231">
        <f t="shared" si="5"/>
        <v>0</v>
      </c>
      <c r="X146" s="231"/>
    </row>
    <row r="147" spans="1:24" hidden="1" x14ac:dyDescent="0.25">
      <c r="A147" s="148" t="s">
        <v>229</v>
      </c>
      <c r="B147" s="106" t="s">
        <v>283</v>
      </c>
      <c r="C147" s="28"/>
      <c r="D147" s="29"/>
      <c r="E147" s="30"/>
      <c r="F147" s="48">
        <f>D147*E147</f>
        <v>0</v>
      </c>
      <c r="G147" s="49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si="1"/>
        <v>0</v>
      </c>
      <c r="T147" s="231">
        <f t="shared" si="2"/>
        <v>0</v>
      </c>
      <c r="U147" s="225">
        <f t="shared" si="3"/>
        <v>0</v>
      </c>
      <c r="V147" s="225">
        <f t="shared" si="4"/>
        <v>0</v>
      </c>
      <c r="W147" s="231">
        <f t="shared" si="5"/>
        <v>0</v>
      </c>
      <c r="X147" s="231"/>
    </row>
    <row r="148" spans="1:24" hidden="1" x14ac:dyDescent="0.25">
      <c r="A148" s="220" t="s">
        <v>101</v>
      </c>
      <c r="B148" s="221" t="s">
        <v>70</v>
      </c>
      <c r="C148" s="217"/>
      <c r="D148" s="218"/>
      <c r="E148" s="219"/>
      <c r="F148" s="208">
        <f>SUM(F149:F153)</f>
        <v>0</v>
      </c>
      <c r="G148" s="209">
        <f>SUM(G149:G153)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39">
        <f t="shared" si="1"/>
        <v>0</v>
      </c>
      <c r="T148" s="240">
        <f t="shared" si="2"/>
        <v>0</v>
      </c>
      <c r="U148" s="239">
        <f t="shared" si="3"/>
        <v>0</v>
      </c>
      <c r="V148" s="239">
        <f t="shared" si="4"/>
        <v>0</v>
      </c>
      <c r="W148" s="240">
        <f t="shared" si="5"/>
        <v>0</v>
      </c>
      <c r="X148" s="240"/>
    </row>
    <row r="149" spans="1:24" hidden="1" x14ac:dyDescent="0.25">
      <c r="A149" s="148" t="s">
        <v>230</v>
      </c>
      <c r="B149" s="106" t="s">
        <v>284</v>
      </c>
      <c r="C149" s="28"/>
      <c r="D149" s="29"/>
      <c r="E149" s="30"/>
      <c r="F149" s="48">
        <f>D149*E149</f>
        <v>0</v>
      </c>
      <c r="G149" s="49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1"/>
        <v>0</v>
      </c>
      <c r="T149" s="231">
        <f t="shared" si="2"/>
        <v>0</v>
      </c>
      <c r="U149" s="225">
        <f t="shared" si="3"/>
        <v>0</v>
      </c>
      <c r="V149" s="225">
        <f t="shared" si="4"/>
        <v>0</v>
      </c>
      <c r="W149" s="231">
        <f t="shared" si="5"/>
        <v>0</v>
      </c>
      <c r="X149" s="231"/>
    </row>
    <row r="150" spans="1:24" hidden="1" x14ac:dyDescent="0.25">
      <c r="A150" s="148" t="s">
        <v>231</v>
      </c>
      <c r="B150" s="106" t="s">
        <v>285</v>
      </c>
      <c r="C150" s="28"/>
      <c r="D150" s="29"/>
      <c r="E150" s="30"/>
      <c r="F150" s="48">
        <f>D150*E150</f>
        <v>0</v>
      </c>
      <c r="G150" s="49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ref="S150:S213" si="8">R150-F150</f>
        <v>0</v>
      </c>
      <c r="T150" s="231">
        <f t="shared" ref="T150:T213" si="9">IF(F150=0,0,S150/F150)</f>
        <v>0</v>
      </c>
      <c r="U150" s="225">
        <f t="shared" ref="U150:U213" si="10">R150*$C$4</f>
        <v>0</v>
      </c>
      <c r="V150" s="225">
        <f t="shared" ref="V150:V213" si="11">U150-G150</f>
        <v>0</v>
      </c>
      <c r="W150" s="231">
        <f t="shared" ref="W150:W213" si="12">IF(G150=0,0,V150/G150)</f>
        <v>0</v>
      </c>
      <c r="X150" s="231"/>
    </row>
    <row r="151" spans="1:24" hidden="1" x14ac:dyDescent="0.25">
      <c r="A151" s="148" t="s">
        <v>232</v>
      </c>
      <c r="B151" s="106" t="s">
        <v>286</v>
      </c>
      <c r="C151" s="28"/>
      <c r="D151" s="29"/>
      <c r="E151" s="30"/>
      <c r="F151" s="48">
        <f>D151*E151</f>
        <v>0</v>
      </c>
      <c r="G151" s="49">
        <f>F151*C4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>
        <f t="shared" si="8"/>
        <v>0</v>
      </c>
      <c r="T151" s="231">
        <f t="shared" si="9"/>
        <v>0</v>
      </c>
      <c r="U151" s="225">
        <f t="shared" si="10"/>
        <v>0</v>
      </c>
      <c r="V151" s="225">
        <f t="shared" si="11"/>
        <v>0</v>
      </c>
      <c r="W151" s="231">
        <f t="shared" si="12"/>
        <v>0</v>
      </c>
      <c r="X151" s="231"/>
    </row>
    <row r="152" spans="1:24" hidden="1" x14ac:dyDescent="0.25">
      <c r="A152" s="148" t="s">
        <v>233</v>
      </c>
      <c r="B152" s="106" t="s">
        <v>287</v>
      </c>
      <c r="C152" s="28"/>
      <c r="D152" s="29"/>
      <c r="E152" s="30"/>
      <c r="F152" s="48">
        <f>D152*E152</f>
        <v>0</v>
      </c>
      <c r="G152" s="49">
        <f>F152*C4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8"/>
        <v>0</v>
      </c>
      <c r="T152" s="231">
        <f t="shared" si="9"/>
        <v>0</v>
      </c>
      <c r="U152" s="225">
        <f t="shared" si="10"/>
        <v>0</v>
      </c>
      <c r="V152" s="225">
        <f t="shared" si="11"/>
        <v>0</v>
      </c>
      <c r="W152" s="231">
        <f t="shared" si="12"/>
        <v>0</v>
      </c>
      <c r="X152" s="231"/>
    </row>
    <row r="153" spans="1:24" hidden="1" x14ac:dyDescent="0.25">
      <c r="A153" s="148" t="s">
        <v>234</v>
      </c>
      <c r="B153" s="106" t="s">
        <v>288</v>
      </c>
      <c r="C153" s="28"/>
      <c r="D153" s="29"/>
      <c r="E153" s="30"/>
      <c r="F153" s="48">
        <f>D153*E153</f>
        <v>0</v>
      </c>
      <c r="G153" s="49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8"/>
        <v>0</v>
      </c>
      <c r="T153" s="231">
        <f t="shared" si="9"/>
        <v>0</v>
      </c>
      <c r="U153" s="225">
        <f t="shared" si="10"/>
        <v>0</v>
      </c>
      <c r="V153" s="225">
        <f t="shared" si="11"/>
        <v>0</v>
      </c>
      <c r="W153" s="231">
        <f t="shared" si="12"/>
        <v>0</v>
      </c>
      <c r="X153" s="231"/>
    </row>
    <row r="154" spans="1:24" hidden="1" x14ac:dyDescent="0.25">
      <c r="A154" s="220" t="s">
        <v>102</v>
      </c>
      <c r="B154" s="221" t="s">
        <v>295</v>
      </c>
      <c r="C154" s="217"/>
      <c r="D154" s="218"/>
      <c r="E154" s="219"/>
      <c r="F154" s="208">
        <f>SUM(F155:F159)</f>
        <v>0</v>
      </c>
      <c r="G154" s="209">
        <f>SUM(G155:G159)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39">
        <f t="shared" si="8"/>
        <v>0</v>
      </c>
      <c r="T154" s="240">
        <f t="shared" si="9"/>
        <v>0</v>
      </c>
      <c r="U154" s="239">
        <f t="shared" si="10"/>
        <v>0</v>
      </c>
      <c r="V154" s="239">
        <f t="shared" si="11"/>
        <v>0</v>
      </c>
      <c r="W154" s="240">
        <f t="shared" si="12"/>
        <v>0</v>
      </c>
      <c r="X154" s="240"/>
    </row>
    <row r="155" spans="1:24" hidden="1" x14ac:dyDescent="0.25">
      <c r="A155" s="153" t="s">
        <v>235</v>
      </c>
      <c r="B155" s="106" t="s">
        <v>298</v>
      </c>
      <c r="C155" s="28"/>
      <c r="D155" s="29"/>
      <c r="E155" s="30"/>
      <c r="F155" s="48">
        <f>D155*E155</f>
        <v>0</v>
      </c>
      <c r="G155" s="49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8"/>
        <v>0</v>
      </c>
      <c r="T155" s="231">
        <f t="shared" si="9"/>
        <v>0</v>
      </c>
      <c r="U155" s="225">
        <f t="shared" si="10"/>
        <v>0</v>
      </c>
      <c r="V155" s="225">
        <f t="shared" si="11"/>
        <v>0</v>
      </c>
      <c r="W155" s="231">
        <f t="shared" si="12"/>
        <v>0</v>
      </c>
      <c r="X155" s="231"/>
    </row>
    <row r="156" spans="1:24" hidden="1" x14ac:dyDescent="0.25">
      <c r="A156" s="153" t="s">
        <v>236</v>
      </c>
      <c r="B156" s="106" t="s">
        <v>299</v>
      </c>
      <c r="C156" s="28"/>
      <c r="D156" s="29"/>
      <c r="E156" s="30"/>
      <c r="F156" s="48">
        <f>D156*E156</f>
        <v>0</v>
      </c>
      <c r="G156" s="49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8"/>
        <v>0</v>
      </c>
      <c r="T156" s="231">
        <f t="shared" si="9"/>
        <v>0</v>
      </c>
      <c r="U156" s="225">
        <f t="shared" si="10"/>
        <v>0</v>
      </c>
      <c r="V156" s="225">
        <f t="shared" si="11"/>
        <v>0</v>
      </c>
      <c r="W156" s="231">
        <f t="shared" si="12"/>
        <v>0</v>
      </c>
      <c r="X156" s="231"/>
    </row>
    <row r="157" spans="1:24" hidden="1" x14ac:dyDescent="0.25">
      <c r="A157" s="153" t="s">
        <v>237</v>
      </c>
      <c r="B157" s="106" t="s">
        <v>300</v>
      </c>
      <c r="C157" s="28"/>
      <c r="D157" s="29"/>
      <c r="E157" s="30"/>
      <c r="F157" s="48">
        <f>D157*E157</f>
        <v>0</v>
      </c>
      <c r="G157" s="49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8"/>
        <v>0</v>
      </c>
      <c r="T157" s="231">
        <f t="shared" si="9"/>
        <v>0</v>
      </c>
      <c r="U157" s="225">
        <f t="shared" si="10"/>
        <v>0</v>
      </c>
      <c r="V157" s="225">
        <f t="shared" si="11"/>
        <v>0</v>
      </c>
      <c r="W157" s="231">
        <f t="shared" si="12"/>
        <v>0</v>
      </c>
      <c r="X157" s="231"/>
    </row>
    <row r="158" spans="1:24" hidden="1" x14ac:dyDescent="0.25">
      <c r="A158" s="153" t="s">
        <v>238</v>
      </c>
      <c r="B158" s="106" t="s">
        <v>301</v>
      </c>
      <c r="C158" s="28"/>
      <c r="D158" s="29"/>
      <c r="E158" s="30"/>
      <c r="F158" s="48">
        <f>D158*E158</f>
        <v>0</v>
      </c>
      <c r="G158" s="49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8"/>
        <v>0</v>
      </c>
      <c r="T158" s="231">
        <f t="shared" si="9"/>
        <v>0</v>
      </c>
      <c r="U158" s="225">
        <f t="shared" si="10"/>
        <v>0</v>
      </c>
      <c r="V158" s="225">
        <f t="shared" si="11"/>
        <v>0</v>
      </c>
      <c r="W158" s="231">
        <f t="shared" si="12"/>
        <v>0</v>
      </c>
      <c r="X158" s="231"/>
    </row>
    <row r="159" spans="1:24" hidden="1" x14ac:dyDescent="0.25">
      <c r="A159" s="153" t="s">
        <v>239</v>
      </c>
      <c r="B159" s="106" t="s">
        <v>302</v>
      </c>
      <c r="C159" s="28"/>
      <c r="D159" s="29"/>
      <c r="E159" s="30"/>
      <c r="F159" s="48">
        <f>D159*E159</f>
        <v>0</v>
      </c>
      <c r="G159" s="49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8"/>
        <v>0</v>
      </c>
      <c r="T159" s="231">
        <f t="shared" si="9"/>
        <v>0</v>
      </c>
      <c r="U159" s="225">
        <f t="shared" si="10"/>
        <v>0</v>
      </c>
      <c r="V159" s="225">
        <f t="shared" si="11"/>
        <v>0</v>
      </c>
      <c r="W159" s="231">
        <f t="shared" si="12"/>
        <v>0</v>
      </c>
      <c r="X159" s="231"/>
    </row>
    <row r="160" spans="1:24" hidden="1" x14ac:dyDescent="0.25">
      <c r="A160" s="220" t="s">
        <v>103</v>
      </c>
      <c r="B160" s="221" t="s">
        <v>296</v>
      </c>
      <c r="C160" s="217"/>
      <c r="D160" s="218"/>
      <c r="E160" s="219"/>
      <c r="F160" s="208">
        <f>SUM(F161:F165)</f>
        <v>0</v>
      </c>
      <c r="G160" s="209">
        <f>SUM(G161:G165)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39">
        <f t="shared" si="8"/>
        <v>0</v>
      </c>
      <c r="T160" s="240">
        <f t="shared" si="9"/>
        <v>0</v>
      </c>
      <c r="U160" s="239">
        <f t="shared" si="10"/>
        <v>0</v>
      </c>
      <c r="V160" s="239">
        <f t="shared" si="11"/>
        <v>0</v>
      </c>
      <c r="W160" s="240">
        <f t="shared" si="12"/>
        <v>0</v>
      </c>
      <c r="X160" s="240"/>
    </row>
    <row r="161" spans="1:24" hidden="1" x14ac:dyDescent="0.25">
      <c r="A161" s="148" t="s">
        <v>240</v>
      </c>
      <c r="B161" s="106" t="s">
        <v>297</v>
      </c>
      <c r="C161" s="28"/>
      <c r="D161" s="29"/>
      <c r="E161" s="30"/>
      <c r="F161" s="48">
        <f>D161*E161</f>
        <v>0</v>
      </c>
      <c r="G161" s="49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8"/>
        <v>0</v>
      </c>
      <c r="T161" s="231">
        <f t="shared" si="9"/>
        <v>0</v>
      </c>
      <c r="U161" s="225">
        <f t="shared" si="10"/>
        <v>0</v>
      </c>
      <c r="V161" s="225">
        <f t="shared" si="11"/>
        <v>0</v>
      </c>
      <c r="W161" s="231">
        <f t="shared" si="12"/>
        <v>0</v>
      </c>
      <c r="X161" s="231"/>
    </row>
    <row r="162" spans="1:24" hidden="1" x14ac:dyDescent="0.25">
      <c r="A162" s="148" t="s">
        <v>241</v>
      </c>
      <c r="B162" s="106" t="s">
        <v>303</v>
      </c>
      <c r="C162" s="28"/>
      <c r="D162" s="29"/>
      <c r="E162" s="30"/>
      <c r="F162" s="48">
        <f>D162*E162</f>
        <v>0</v>
      </c>
      <c r="G162" s="49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8"/>
        <v>0</v>
      </c>
      <c r="T162" s="231">
        <f t="shared" si="9"/>
        <v>0</v>
      </c>
      <c r="U162" s="225">
        <f t="shared" si="10"/>
        <v>0</v>
      </c>
      <c r="V162" s="225">
        <f t="shared" si="11"/>
        <v>0</v>
      </c>
      <c r="W162" s="231">
        <f t="shared" si="12"/>
        <v>0</v>
      </c>
      <c r="X162" s="231"/>
    </row>
    <row r="163" spans="1:24" hidden="1" x14ac:dyDescent="0.25">
      <c r="A163" s="148" t="s">
        <v>242</v>
      </c>
      <c r="B163" s="106" t="s">
        <v>304</v>
      </c>
      <c r="C163" s="28"/>
      <c r="D163" s="29"/>
      <c r="E163" s="30"/>
      <c r="F163" s="48">
        <f>D163*E163</f>
        <v>0</v>
      </c>
      <c r="G163" s="49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8"/>
        <v>0</v>
      </c>
      <c r="T163" s="231">
        <f t="shared" si="9"/>
        <v>0</v>
      </c>
      <c r="U163" s="225">
        <f t="shared" si="10"/>
        <v>0</v>
      </c>
      <c r="V163" s="225">
        <f t="shared" si="11"/>
        <v>0</v>
      </c>
      <c r="W163" s="231">
        <f t="shared" si="12"/>
        <v>0</v>
      </c>
      <c r="X163" s="231"/>
    </row>
    <row r="164" spans="1:24" hidden="1" x14ac:dyDescent="0.25">
      <c r="A164" s="148" t="s">
        <v>243</v>
      </c>
      <c r="B164" s="106" t="s">
        <v>305</v>
      </c>
      <c r="C164" s="28"/>
      <c r="D164" s="29"/>
      <c r="E164" s="30"/>
      <c r="F164" s="48">
        <f>D164*E164</f>
        <v>0</v>
      </c>
      <c r="G164" s="49">
        <f>F164*C4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25">
        <f t="shared" si="8"/>
        <v>0</v>
      </c>
      <c r="T164" s="231">
        <f t="shared" si="9"/>
        <v>0</v>
      </c>
      <c r="U164" s="225">
        <f t="shared" si="10"/>
        <v>0</v>
      </c>
      <c r="V164" s="225">
        <f t="shared" si="11"/>
        <v>0</v>
      </c>
      <c r="W164" s="231">
        <f t="shared" si="12"/>
        <v>0</v>
      </c>
      <c r="X164" s="231"/>
    </row>
    <row r="165" spans="1:24" hidden="1" x14ac:dyDescent="0.25">
      <c r="A165" s="148" t="s">
        <v>244</v>
      </c>
      <c r="B165" s="106" t="s">
        <v>306</v>
      </c>
      <c r="C165" s="28"/>
      <c r="D165" s="29"/>
      <c r="E165" s="30"/>
      <c r="F165" s="48">
        <f>D165*E165</f>
        <v>0</v>
      </c>
      <c r="G165" s="49">
        <f>F165*C4</f>
        <v>0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25">
        <f t="shared" si="8"/>
        <v>0</v>
      </c>
      <c r="T165" s="231">
        <f t="shared" si="9"/>
        <v>0</v>
      </c>
      <c r="U165" s="225">
        <f t="shared" si="10"/>
        <v>0</v>
      </c>
      <c r="V165" s="225">
        <f t="shared" si="11"/>
        <v>0</v>
      </c>
      <c r="W165" s="231">
        <f t="shared" si="12"/>
        <v>0</v>
      </c>
      <c r="X165" s="231"/>
    </row>
    <row r="166" spans="1:24" x14ac:dyDescent="0.25">
      <c r="B166" s="149"/>
      <c r="C166" s="31"/>
      <c r="D166" s="32"/>
      <c r="E166" s="33"/>
      <c r="F166" s="48"/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57"/>
      <c r="S166" s="225"/>
      <c r="T166" s="231"/>
      <c r="U166" s="225"/>
      <c r="V166" s="225"/>
      <c r="W166" s="231"/>
      <c r="X166" s="231"/>
    </row>
    <row r="167" spans="1:24" ht="13.8" thickBot="1" x14ac:dyDescent="0.3">
      <c r="A167" s="99"/>
      <c r="B167" s="146" t="s">
        <v>124</v>
      </c>
      <c r="C167" s="118"/>
      <c r="D167" s="122"/>
      <c r="E167" s="123"/>
      <c r="F167" s="50">
        <f>SUM(F106+F112+F118+F124+F130+F136+F142+F148+F154+F160)</f>
        <v>446000</v>
      </c>
      <c r="G167" s="50">
        <f>SUM(G106+G112+G118+G124+G130+G136+G142+G148+G154+G160)</f>
        <v>446000</v>
      </c>
      <c r="H167" s="244"/>
      <c r="I167" s="244"/>
      <c r="J167" s="244"/>
      <c r="K167" s="244"/>
      <c r="L167" s="244"/>
      <c r="M167" s="244"/>
      <c r="N167" s="244"/>
      <c r="O167" s="244"/>
      <c r="P167" s="244"/>
      <c r="Q167" s="253"/>
      <c r="R167" s="263"/>
      <c r="S167" s="237">
        <f t="shared" si="8"/>
        <v>-446000</v>
      </c>
      <c r="T167" s="238">
        <f t="shared" si="9"/>
        <v>-1</v>
      </c>
      <c r="U167" s="237">
        <f t="shared" si="10"/>
        <v>0</v>
      </c>
      <c r="V167" s="237">
        <f t="shared" si="11"/>
        <v>-446000</v>
      </c>
      <c r="W167" s="238">
        <f t="shared" si="12"/>
        <v>-1</v>
      </c>
      <c r="X167" s="238"/>
    </row>
    <row r="168" spans="1:24" ht="13.8" thickTop="1" x14ac:dyDescent="0.25">
      <c r="C168" s="80"/>
      <c r="D168" s="71"/>
      <c r="E168" s="72"/>
      <c r="G168" s="48"/>
      <c r="H168" s="245"/>
      <c r="I168" s="245"/>
      <c r="J168" s="245"/>
      <c r="K168" s="245"/>
      <c r="L168" s="245"/>
      <c r="M168" s="245"/>
      <c r="N168" s="245"/>
      <c r="O168" s="245"/>
      <c r="P168" s="245"/>
      <c r="Q168" s="254"/>
      <c r="R168" s="261"/>
      <c r="S168" s="225"/>
      <c r="T168" s="231"/>
      <c r="U168" s="225"/>
      <c r="V168" s="225"/>
      <c r="W168" s="231"/>
      <c r="X168" s="231"/>
    </row>
    <row r="169" spans="1:24" x14ac:dyDescent="0.25">
      <c r="A169" s="125">
        <v>3</v>
      </c>
      <c r="B169" s="126" t="s">
        <v>127</v>
      </c>
      <c r="C169" s="130"/>
      <c r="D169" s="129"/>
      <c r="E169" s="131"/>
      <c r="F169" s="131"/>
      <c r="G169" s="147"/>
      <c r="H169" s="241"/>
      <c r="I169" s="241"/>
      <c r="J169" s="241"/>
      <c r="K169" s="241"/>
      <c r="L169" s="241"/>
      <c r="M169" s="241"/>
      <c r="N169" s="241"/>
      <c r="O169" s="241"/>
      <c r="P169" s="241"/>
      <c r="Q169" s="252"/>
      <c r="R169" s="260"/>
      <c r="S169" s="230"/>
      <c r="T169" s="232"/>
      <c r="U169" s="230"/>
      <c r="V169" s="230"/>
      <c r="W169" s="232"/>
      <c r="X169" s="232"/>
    </row>
    <row r="170" spans="1:24" hidden="1" x14ac:dyDescent="0.25">
      <c r="A170" s="157" t="s">
        <v>132</v>
      </c>
      <c r="B170" s="140" t="s">
        <v>110</v>
      </c>
      <c r="C170" s="21"/>
      <c r="D170" s="25"/>
      <c r="E170" s="18"/>
      <c r="F170" s="3">
        <f>D170*E170</f>
        <v>0</v>
      </c>
      <c r="G170" s="51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8"/>
        <v>0</v>
      </c>
      <c r="T170" s="231">
        <f t="shared" si="9"/>
        <v>0</v>
      </c>
      <c r="U170" s="225">
        <f t="shared" si="10"/>
        <v>0</v>
      </c>
      <c r="V170" s="225">
        <f t="shared" si="11"/>
        <v>0</v>
      </c>
      <c r="W170" s="231">
        <f t="shared" si="12"/>
        <v>0</v>
      </c>
      <c r="X170" s="231"/>
    </row>
    <row r="171" spans="1:24" hidden="1" x14ac:dyDescent="0.25">
      <c r="A171" s="157" t="s">
        <v>133</v>
      </c>
      <c r="B171" s="140" t="s">
        <v>48</v>
      </c>
      <c r="C171" s="21"/>
      <c r="D171" s="25"/>
      <c r="E171" s="18"/>
      <c r="F171" s="3">
        <f t="shared" ref="F171:F177" si="13">D171*E171</f>
        <v>0</v>
      </c>
      <c r="G171" s="51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8"/>
        <v>0</v>
      </c>
      <c r="T171" s="231">
        <f t="shared" si="9"/>
        <v>0</v>
      </c>
      <c r="U171" s="225">
        <f t="shared" si="10"/>
        <v>0</v>
      </c>
      <c r="V171" s="225">
        <f t="shared" si="11"/>
        <v>0</v>
      </c>
      <c r="W171" s="231">
        <f t="shared" si="12"/>
        <v>0</v>
      </c>
      <c r="X171" s="231"/>
    </row>
    <row r="172" spans="1:24" hidden="1" x14ac:dyDescent="0.25">
      <c r="A172" s="157" t="s">
        <v>134</v>
      </c>
      <c r="B172" s="140" t="s">
        <v>106</v>
      </c>
      <c r="C172" s="34"/>
      <c r="D172" s="35"/>
      <c r="E172" s="36"/>
      <c r="F172" s="3">
        <f t="shared" si="13"/>
        <v>0</v>
      </c>
      <c r="G172" s="51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8"/>
        <v>0</v>
      </c>
      <c r="T172" s="231">
        <f t="shared" si="9"/>
        <v>0</v>
      </c>
      <c r="U172" s="225">
        <f t="shared" si="10"/>
        <v>0</v>
      </c>
      <c r="V172" s="225">
        <f t="shared" si="11"/>
        <v>0</v>
      </c>
      <c r="W172" s="231">
        <f t="shared" si="12"/>
        <v>0</v>
      </c>
      <c r="X172" s="231"/>
    </row>
    <row r="173" spans="1:24" hidden="1" x14ac:dyDescent="0.25">
      <c r="A173" s="157" t="s">
        <v>135</v>
      </c>
      <c r="B173" s="140" t="s">
        <v>140</v>
      </c>
      <c r="C173" s="34"/>
      <c r="D173" s="35"/>
      <c r="E173" s="36"/>
      <c r="F173" s="3">
        <f t="shared" si="13"/>
        <v>0</v>
      </c>
      <c r="G173" s="51">
        <f>F173*C4</f>
        <v>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8"/>
        <v>0</v>
      </c>
      <c r="T173" s="231">
        <f t="shared" si="9"/>
        <v>0</v>
      </c>
      <c r="U173" s="225">
        <f t="shared" si="10"/>
        <v>0</v>
      </c>
      <c r="V173" s="225">
        <f t="shared" si="11"/>
        <v>0</v>
      </c>
      <c r="W173" s="231">
        <f t="shared" si="12"/>
        <v>0</v>
      </c>
      <c r="X173" s="231"/>
    </row>
    <row r="174" spans="1:24" ht="15" hidden="1" customHeight="1" x14ac:dyDescent="0.25">
      <c r="A174" s="157" t="s">
        <v>136</v>
      </c>
      <c r="B174" s="140" t="s">
        <v>141</v>
      </c>
      <c r="C174" s="34"/>
      <c r="D174" s="35"/>
      <c r="E174" s="36"/>
      <c r="F174" s="3">
        <f t="shared" si="13"/>
        <v>0</v>
      </c>
      <c r="G174" s="51">
        <f>F174*C4</f>
        <v>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8"/>
        <v>0</v>
      </c>
      <c r="T174" s="231">
        <f t="shared" si="9"/>
        <v>0</v>
      </c>
      <c r="U174" s="225">
        <f t="shared" si="10"/>
        <v>0</v>
      </c>
      <c r="V174" s="225">
        <f t="shared" si="11"/>
        <v>0</v>
      </c>
      <c r="W174" s="231">
        <f t="shared" si="12"/>
        <v>0</v>
      </c>
      <c r="X174" s="231"/>
    </row>
    <row r="175" spans="1:24" ht="15" customHeight="1" x14ac:dyDescent="0.25">
      <c r="A175" s="157" t="s">
        <v>137</v>
      </c>
      <c r="B175" s="140" t="s">
        <v>246</v>
      </c>
      <c r="C175" s="280" t="s">
        <v>436</v>
      </c>
      <c r="D175" s="21">
        <v>1</v>
      </c>
      <c r="E175" s="25">
        <v>5000</v>
      </c>
      <c r="F175" s="3">
        <f>D175*E175</f>
        <v>5000</v>
      </c>
      <c r="G175" s="51">
        <f>F175*C4</f>
        <v>5000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8"/>
        <v>-5000</v>
      </c>
      <c r="T175" s="231">
        <f t="shared" si="9"/>
        <v>-1</v>
      </c>
      <c r="U175" s="225">
        <f t="shared" si="10"/>
        <v>0</v>
      </c>
      <c r="V175" s="225">
        <f t="shared" si="11"/>
        <v>-5000</v>
      </c>
      <c r="W175" s="231">
        <f t="shared" si="12"/>
        <v>-1</v>
      </c>
      <c r="X175" s="231"/>
    </row>
    <row r="176" spans="1:24" x14ac:dyDescent="0.25">
      <c r="A176" s="157" t="s">
        <v>138</v>
      </c>
      <c r="B176" s="140" t="s">
        <v>139</v>
      </c>
      <c r="C176" s="280" t="s">
        <v>436</v>
      </c>
      <c r="D176" s="21">
        <v>1</v>
      </c>
      <c r="E176" s="25">
        <v>500</v>
      </c>
      <c r="F176" s="3">
        <f t="shared" si="13"/>
        <v>500</v>
      </c>
      <c r="G176" s="51">
        <f>F176*C4</f>
        <v>500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>
        <f t="shared" si="8"/>
        <v>-500</v>
      </c>
      <c r="T176" s="231">
        <f t="shared" si="9"/>
        <v>-1</v>
      </c>
      <c r="U176" s="225">
        <f t="shared" si="10"/>
        <v>0</v>
      </c>
      <c r="V176" s="225">
        <f t="shared" si="11"/>
        <v>-500</v>
      </c>
      <c r="W176" s="231">
        <f t="shared" si="12"/>
        <v>-1</v>
      </c>
      <c r="X176" s="231"/>
    </row>
    <row r="177" spans="1:24" x14ac:dyDescent="0.25">
      <c r="A177" s="157" t="s">
        <v>245</v>
      </c>
      <c r="B177" s="140" t="s">
        <v>165</v>
      </c>
      <c r="C177" s="280" t="s">
        <v>436</v>
      </c>
      <c r="D177" s="21">
        <v>1</v>
      </c>
      <c r="E177" s="25">
        <v>7000</v>
      </c>
      <c r="F177" s="3">
        <f t="shared" si="13"/>
        <v>7000</v>
      </c>
      <c r="G177" s="51">
        <f>F177*C4</f>
        <v>7000</v>
      </c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62"/>
      <c r="S177" s="225">
        <f t="shared" si="8"/>
        <v>-7000</v>
      </c>
      <c r="T177" s="231">
        <f t="shared" si="9"/>
        <v>-1</v>
      </c>
      <c r="U177" s="225">
        <f t="shared" si="10"/>
        <v>0</v>
      </c>
      <c r="V177" s="225">
        <f t="shared" si="11"/>
        <v>-7000</v>
      </c>
      <c r="W177" s="231">
        <f t="shared" si="12"/>
        <v>-1</v>
      </c>
      <c r="X177" s="231"/>
    </row>
    <row r="178" spans="1:24" x14ac:dyDescent="0.25">
      <c r="B178" s="109"/>
      <c r="C178" s="80"/>
      <c r="D178" s="71"/>
      <c r="E178" s="72"/>
      <c r="G178" s="48"/>
      <c r="H178" s="245"/>
      <c r="I178" s="245"/>
      <c r="J178" s="245"/>
      <c r="K178" s="245"/>
      <c r="L178" s="245"/>
      <c r="M178" s="245"/>
      <c r="N178" s="245"/>
      <c r="O178" s="245"/>
      <c r="P178" s="245"/>
      <c r="Q178" s="254"/>
      <c r="R178" s="261"/>
      <c r="S178" s="225"/>
      <c r="T178" s="231"/>
      <c r="U178" s="225"/>
      <c r="V178" s="225"/>
      <c r="W178" s="231"/>
      <c r="X178" s="231"/>
    </row>
    <row r="179" spans="1:24" ht="13.8" thickBot="1" x14ac:dyDescent="0.3">
      <c r="A179" s="99"/>
      <c r="B179" s="146" t="s">
        <v>108</v>
      </c>
      <c r="C179" s="118"/>
      <c r="D179" s="122"/>
      <c r="E179" s="123"/>
      <c r="F179" s="50">
        <f>SUM(F170:F177)</f>
        <v>12500</v>
      </c>
      <c r="G179" s="50">
        <f>SUM(G170:G177)</f>
        <v>12500</v>
      </c>
      <c r="H179" s="244"/>
      <c r="I179" s="244"/>
      <c r="J179" s="244"/>
      <c r="K179" s="244"/>
      <c r="L179" s="244"/>
      <c r="M179" s="244"/>
      <c r="N179" s="244"/>
      <c r="O179" s="244"/>
      <c r="P179" s="244"/>
      <c r="Q179" s="253"/>
      <c r="R179" s="263"/>
      <c r="S179" s="237">
        <f t="shared" si="8"/>
        <v>-12500</v>
      </c>
      <c r="T179" s="238">
        <f t="shared" si="9"/>
        <v>-1</v>
      </c>
      <c r="U179" s="237">
        <f t="shared" si="10"/>
        <v>0</v>
      </c>
      <c r="V179" s="237">
        <f t="shared" si="11"/>
        <v>-12500</v>
      </c>
      <c r="W179" s="238">
        <f t="shared" si="12"/>
        <v>-1</v>
      </c>
      <c r="X179" s="238"/>
    </row>
    <row r="180" spans="1:24" ht="13.8" thickTop="1" x14ac:dyDescent="0.25">
      <c r="B180" s="77"/>
      <c r="C180" s="162"/>
      <c r="D180" s="161"/>
      <c r="E180" s="74"/>
      <c r="F180" s="48"/>
      <c r="G180" s="1"/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57"/>
      <c r="S180" s="225"/>
      <c r="T180" s="231"/>
      <c r="U180" s="225"/>
      <c r="V180" s="225"/>
      <c r="W180" s="231"/>
      <c r="X180" s="231"/>
    </row>
    <row r="181" spans="1:24" x14ac:dyDescent="0.25">
      <c r="A181" s="125">
        <v>4</v>
      </c>
      <c r="B181" s="126" t="s">
        <v>107</v>
      </c>
      <c r="C181" s="130"/>
      <c r="D181" s="129"/>
      <c r="E181" s="131"/>
      <c r="F181" s="131"/>
      <c r="G181" s="147"/>
      <c r="H181" s="241"/>
      <c r="I181" s="241"/>
      <c r="J181" s="241"/>
      <c r="K181" s="241"/>
      <c r="L181" s="241"/>
      <c r="M181" s="241"/>
      <c r="N181" s="241"/>
      <c r="O181" s="241"/>
      <c r="P181" s="241"/>
      <c r="Q181" s="252"/>
      <c r="R181" s="260"/>
      <c r="S181" s="230"/>
      <c r="T181" s="232"/>
      <c r="U181" s="230"/>
      <c r="V181" s="230"/>
      <c r="W181" s="232"/>
      <c r="X181" s="232"/>
    </row>
    <row r="182" spans="1:24" hidden="1" x14ac:dyDescent="0.25">
      <c r="A182" s="70" t="s">
        <v>19</v>
      </c>
      <c r="B182" s="77"/>
      <c r="C182" s="162"/>
      <c r="D182" s="161"/>
      <c r="E182" s="74"/>
      <c r="F182" s="48"/>
      <c r="G182" s="1"/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57"/>
      <c r="S182" s="225"/>
      <c r="T182" s="231"/>
      <c r="U182" s="225"/>
      <c r="V182" s="225"/>
      <c r="W182" s="231"/>
      <c r="X182" s="231"/>
    </row>
    <row r="183" spans="1:24" hidden="1" x14ac:dyDescent="0.25">
      <c r="A183" s="77" t="s">
        <v>142</v>
      </c>
      <c r="B183" s="163" t="s">
        <v>44</v>
      </c>
      <c r="C183" s="21"/>
      <c r="D183" s="25"/>
      <c r="E183" s="18"/>
      <c r="F183" s="48">
        <f>D183*E183</f>
        <v>0</v>
      </c>
      <c r="G183" s="1">
        <f>F183*C4</f>
        <v>0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8"/>
        <v>0</v>
      </c>
      <c r="T183" s="231">
        <f t="shared" si="9"/>
        <v>0</v>
      </c>
      <c r="U183" s="225">
        <f t="shared" si="10"/>
        <v>0</v>
      </c>
      <c r="V183" s="225">
        <f t="shared" si="11"/>
        <v>0</v>
      </c>
      <c r="W183" s="231">
        <f t="shared" si="12"/>
        <v>0</v>
      </c>
      <c r="X183" s="231"/>
    </row>
    <row r="184" spans="1:24" hidden="1" x14ac:dyDescent="0.25">
      <c r="A184" s="77" t="s">
        <v>143</v>
      </c>
      <c r="B184" s="163" t="s">
        <v>45</v>
      </c>
      <c r="C184" s="21"/>
      <c r="D184" s="25"/>
      <c r="E184" s="18"/>
      <c r="F184" s="48">
        <f>D184*E184</f>
        <v>0</v>
      </c>
      <c r="G184" s="1">
        <f>F184*C4</f>
        <v>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8"/>
        <v>0</v>
      </c>
      <c r="T184" s="231">
        <f t="shared" si="9"/>
        <v>0</v>
      </c>
      <c r="U184" s="225">
        <f t="shared" si="10"/>
        <v>0</v>
      </c>
      <c r="V184" s="225">
        <f t="shared" si="11"/>
        <v>0</v>
      </c>
      <c r="W184" s="231">
        <f t="shared" si="12"/>
        <v>0</v>
      </c>
      <c r="X184" s="231"/>
    </row>
    <row r="185" spans="1:24" hidden="1" x14ac:dyDescent="0.25">
      <c r="A185" s="70" t="s">
        <v>7</v>
      </c>
      <c r="B185" s="137"/>
      <c r="C185" s="22"/>
      <c r="D185" s="44"/>
      <c r="E185" s="1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hidden="1" x14ac:dyDescent="0.25">
      <c r="A186" s="77" t="s">
        <v>144</v>
      </c>
      <c r="B186" s="163" t="s">
        <v>46</v>
      </c>
      <c r="C186" s="35"/>
      <c r="D186" s="36"/>
      <c r="E186" s="39"/>
      <c r="F186" s="48">
        <f>D186*E186</f>
        <v>0</v>
      </c>
      <c r="G186" s="49">
        <f>F186*C4</f>
        <v>0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8"/>
        <v>0</v>
      </c>
      <c r="T186" s="231">
        <f t="shared" si="9"/>
        <v>0</v>
      </c>
      <c r="U186" s="225">
        <f t="shared" si="10"/>
        <v>0</v>
      </c>
      <c r="V186" s="225">
        <f t="shared" si="11"/>
        <v>0</v>
      </c>
      <c r="W186" s="231">
        <f t="shared" si="12"/>
        <v>0</v>
      </c>
      <c r="X186" s="231"/>
    </row>
    <row r="187" spans="1:24" hidden="1" x14ac:dyDescent="0.25">
      <c r="A187" s="77" t="s">
        <v>145</v>
      </c>
      <c r="B187" s="137" t="s">
        <v>47</v>
      </c>
      <c r="C187" s="35"/>
      <c r="D187" s="36"/>
      <c r="E187" s="39"/>
      <c r="F187" s="48">
        <f>D187*E187</f>
        <v>0</v>
      </c>
      <c r="G187" s="49">
        <f>F187*C4</f>
        <v>0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8"/>
        <v>0</v>
      </c>
      <c r="T187" s="231">
        <f t="shared" si="9"/>
        <v>0</v>
      </c>
      <c r="U187" s="225">
        <f t="shared" si="10"/>
        <v>0</v>
      </c>
      <c r="V187" s="225">
        <f t="shared" si="11"/>
        <v>0</v>
      </c>
      <c r="W187" s="231">
        <f t="shared" si="12"/>
        <v>0</v>
      </c>
      <c r="X187" s="231"/>
    </row>
    <row r="188" spans="1:24" x14ac:dyDescent="0.25">
      <c r="A188" s="70" t="s">
        <v>8</v>
      </c>
      <c r="B188" s="137"/>
      <c r="C188" s="52"/>
      <c r="D188" s="23"/>
      <c r="E188" s="24"/>
      <c r="F188" s="48"/>
      <c r="G188" s="1"/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57"/>
      <c r="S188" s="225"/>
      <c r="T188" s="231"/>
      <c r="U188" s="225"/>
      <c r="V188" s="225"/>
      <c r="W188" s="231"/>
      <c r="X188" s="231"/>
    </row>
    <row r="189" spans="1:24" x14ac:dyDescent="0.25">
      <c r="A189" s="77" t="s">
        <v>150</v>
      </c>
      <c r="B189" s="140" t="s">
        <v>181</v>
      </c>
      <c r="C189" s="21" t="s">
        <v>392</v>
      </c>
      <c r="D189" s="25">
        <v>12</v>
      </c>
      <c r="E189" s="18">
        <f>(400*50%)+((400*50%)/12)+20</f>
        <v>236.66666666666666</v>
      </c>
      <c r="F189" s="48">
        <f>D189*E189</f>
        <v>2840</v>
      </c>
      <c r="G189" s="1">
        <f>F189*C4</f>
        <v>2840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8"/>
        <v>-2840</v>
      </c>
      <c r="T189" s="231">
        <f t="shared" si="9"/>
        <v>-1</v>
      </c>
      <c r="U189" s="225">
        <f t="shared" si="10"/>
        <v>0</v>
      </c>
      <c r="V189" s="225">
        <f t="shared" si="11"/>
        <v>-2840</v>
      </c>
      <c r="W189" s="231">
        <f t="shared" si="12"/>
        <v>-1</v>
      </c>
      <c r="X189" s="231"/>
    </row>
    <row r="190" spans="1:24" hidden="1" x14ac:dyDescent="0.25">
      <c r="A190" s="77" t="s">
        <v>146</v>
      </c>
      <c r="B190" s="149" t="s">
        <v>50</v>
      </c>
      <c r="C190" s="21"/>
      <c r="D190" s="25"/>
      <c r="E190" s="18"/>
      <c r="F190" s="48">
        <f>D190*E190</f>
        <v>0</v>
      </c>
      <c r="G190" s="1">
        <f>F190*C4</f>
        <v>0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8"/>
        <v>0</v>
      </c>
      <c r="T190" s="231">
        <f t="shared" si="9"/>
        <v>0</v>
      </c>
      <c r="U190" s="225">
        <f t="shared" si="10"/>
        <v>0</v>
      </c>
      <c r="V190" s="225">
        <f t="shared" si="11"/>
        <v>0</v>
      </c>
      <c r="W190" s="231">
        <f t="shared" si="12"/>
        <v>0</v>
      </c>
      <c r="X190" s="231"/>
    </row>
    <row r="191" spans="1:24" x14ac:dyDescent="0.25">
      <c r="A191" s="77" t="s">
        <v>147</v>
      </c>
      <c r="B191" s="149" t="s">
        <v>51</v>
      </c>
      <c r="C191" s="21" t="s">
        <v>392</v>
      </c>
      <c r="D191" s="25">
        <v>12</v>
      </c>
      <c r="E191" s="18">
        <f>(360*50%)+((360*50%)/12)+20</f>
        <v>215</v>
      </c>
      <c r="F191" s="48">
        <f>D191*E191</f>
        <v>2580</v>
      </c>
      <c r="G191" s="1">
        <f>F191*C4</f>
        <v>2580</v>
      </c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62"/>
      <c r="S191" s="225">
        <f t="shared" si="8"/>
        <v>-2580</v>
      </c>
      <c r="T191" s="231">
        <f t="shared" si="9"/>
        <v>-1</v>
      </c>
      <c r="U191" s="225">
        <f t="shared" si="10"/>
        <v>0</v>
      </c>
      <c r="V191" s="225">
        <f t="shared" si="11"/>
        <v>-2580</v>
      </c>
      <c r="W191" s="231">
        <f t="shared" si="12"/>
        <v>-1</v>
      </c>
      <c r="X191" s="231"/>
    </row>
    <row r="192" spans="1:24" x14ac:dyDescent="0.25">
      <c r="A192" s="77" t="s">
        <v>148</v>
      </c>
      <c r="B192" s="149" t="s">
        <v>125</v>
      </c>
      <c r="C192" s="21" t="s">
        <v>392</v>
      </c>
      <c r="D192" s="25">
        <v>12</v>
      </c>
      <c r="E192" s="292">
        <v>250</v>
      </c>
      <c r="F192" s="48">
        <f>D192*E192</f>
        <v>3000</v>
      </c>
      <c r="G192" s="1">
        <f>F192*C4</f>
        <v>3000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62"/>
      <c r="S192" s="225">
        <f t="shared" si="8"/>
        <v>-3000</v>
      </c>
      <c r="T192" s="231">
        <f t="shared" si="9"/>
        <v>-1</v>
      </c>
      <c r="U192" s="225">
        <f t="shared" si="10"/>
        <v>0</v>
      </c>
      <c r="V192" s="225">
        <f t="shared" si="11"/>
        <v>-3000</v>
      </c>
      <c r="W192" s="231">
        <f t="shared" si="12"/>
        <v>-1</v>
      </c>
      <c r="X192" s="231"/>
    </row>
    <row r="193" spans="1:24" hidden="1" x14ac:dyDescent="0.25">
      <c r="A193" s="77" t="s">
        <v>149</v>
      </c>
      <c r="B193" s="149" t="s">
        <v>126</v>
      </c>
      <c r="C193" s="21"/>
      <c r="D193" s="25"/>
      <c r="E193" s="292"/>
      <c r="F193" s="48">
        <f>D193*E193</f>
        <v>0</v>
      </c>
      <c r="G193" s="1">
        <f>F193*C4</f>
        <v>0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62"/>
      <c r="S193" s="225">
        <f t="shared" si="8"/>
        <v>0</v>
      </c>
      <c r="T193" s="231">
        <f t="shared" si="9"/>
        <v>0</v>
      </c>
      <c r="U193" s="225">
        <f t="shared" si="10"/>
        <v>0</v>
      </c>
      <c r="V193" s="225">
        <f t="shared" si="11"/>
        <v>0</v>
      </c>
      <c r="W193" s="231">
        <f t="shared" si="12"/>
        <v>0</v>
      </c>
      <c r="X193" s="231"/>
    </row>
    <row r="194" spans="1:24" x14ac:dyDescent="0.25">
      <c r="C194" s="5"/>
      <c r="D194" s="5"/>
      <c r="E194" s="5"/>
      <c r="F194" s="168"/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/>
      <c r="T194" s="231"/>
      <c r="U194" s="225"/>
      <c r="V194" s="225"/>
      <c r="W194" s="231"/>
      <c r="X194" s="231"/>
    </row>
    <row r="195" spans="1:24" hidden="1" x14ac:dyDescent="0.25">
      <c r="A195" s="200"/>
      <c r="B195" s="201" t="s">
        <v>188</v>
      </c>
      <c r="C195" s="201"/>
      <c r="D195" s="201"/>
      <c r="E195" s="201"/>
      <c r="F195" s="202">
        <f>SUM(F183:F185)</f>
        <v>0</v>
      </c>
      <c r="G195" s="201">
        <f>SUM(G183:G185)</f>
        <v>0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57"/>
      <c r="S195" s="225">
        <f t="shared" si="8"/>
        <v>0</v>
      </c>
      <c r="T195" s="231">
        <f t="shared" si="9"/>
        <v>0</v>
      </c>
      <c r="U195" s="225">
        <f t="shared" si="10"/>
        <v>0</v>
      </c>
      <c r="V195" s="225">
        <f t="shared" si="11"/>
        <v>0</v>
      </c>
      <c r="W195" s="231">
        <f t="shared" si="12"/>
        <v>0</v>
      </c>
      <c r="X195" s="231"/>
    </row>
    <row r="196" spans="1:24" hidden="1" x14ac:dyDescent="0.25">
      <c r="A196" s="200"/>
      <c r="B196" s="201" t="s">
        <v>7</v>
      </c>
      <c r="C196" s="201"/>
      <c r="D196" s="201"/>
      <c r="E196" s="201"/>
      <c r="F196" s="202">
        <f>SUM(F186:F188)</f>
        <v>0</v>
      </c>
      <c r="G196" s="201">
        <f>SUM(G186:G188)</f>
        <v>0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57"/>
      <c r="S196" s="225">
        <f t="shared" si="8"/>
        <v>0</v>
      </c>
      <c r="T196" s="231">
        <f t="shared" si="9"/>
        <v>0</v>
      </c>
      <c r="U196" s="225">
        <f t="shared" si="10"/>
        <v>0</v>
      </c>
      <c r="V196" s="225">
        <f t="shared" si="11"/>
        <v>0</v>
      </c>
      <c r="W196" s="231">
        <f t="shared" si="12"/>
        <v>0</v>
      </c>
      <c r="X196" s="231"/>
    </row>
    <row r="197" spans="1:24" hidden="1" x14ac:dyDescent="0.25">
      <c r="A197" s="200"/>
      <c r="B197" s="201" t="s">
        <v>8</v>
      </c>
      <c r="C197" s="201"/>
      <c r="D197" s="201"/>
      <c r="E197" s="201"/>
      <c r="F197" s="202">
        <f>SUM(F189:F194)</f>
        <v>8420</v>
      </c>
      <c r="G197" s="201">
        <f>SUM(G189:G194)</f>
        <v>8420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57"/>
      <c r="S197" s="225">
        <f t="shared" si="8"/>
        <v>-8420</v>
      </c>
      <c r="T197" s="231">
        <f t="shared" si="9"/>
        <v>-1</v>
      </c>
      <c r="U197" s="225">
        <f t="shared" si="10"/>
        <v>0</v>
      </c>
      <c r="V197" s="225">
        <f t="shared" si="11"/>
        <v>-8420</v>
      </c>
      <c r="W197" s="231">
        <f t="shared" si="12"/>
        <v>-1</v>
      </c>
      <c r="X197" s="231"/>
    </row>
    <row r="198" spans="1:24" ht="13.8" thickBot="1" x14ac:dyDescent="0.3">
      <c r="A198" s="99"/>
      <c r="B198" s="146" t="s">
        <v>109</v>
      </c>
      <c r="C198" s="118"/>
      <c r="D198" s="122"/>
      <c r="E198" s="123"/>
      <c r="F198" s="50">
        <f>SUM(F183+F184+F186+F187+F189+F190+F191+F192+F193)</f>
        <v>8420</v>
      </c>
      <c r="G198" s="50">
        <f>SUM(G183+G184+G186+G187+G189+G191+G190+G192+G193)</f>
        <v>8420</v>
      </c>
      <c r="H198" s="244"/>
      <c r="I198" s="244"/>
      <c r="J198" s="244"/>
      <c r="K198" s="244"/>
      <c r="L198" s="244"/>
      <c r="M198" s="244"/>
      <c r="N198" s="244"/>
      <c r="O198" s="244"/>
      <c r="P198" s="244"/>
      <c r="Q198" s="253"/>
      <c r="R198" s="263"/>
      <c r="S198" s="237">
        <f t="shared" si="8"/>
        <v>-8420</v>
      </c>
      <c r="T198" s="238">
        <f t="shared" si="9"/>
        <v>-1</v>
      </c>
      <c r="U198" s="237">
        <f t="shared" si="10"/>
        <v>0</v>
      </c>
      <c r="V198" s="237">
        <f t="shared" si="11"/>
        <v>-8420</v>
      </c>
      <c r="W198" s="238">
        <f t="shared" si="12"/>
        <v>-1</v>
      </c>
      <c r="X198" s="238"/>
    </row>
    <row r="199" spans="1:24" ht="13.8" thickTop="1" x14ac:dyDescent="0.25">
      <c r="A199" s="99"/>
      <c r="B199" s="146"/>
      <c r="C199" s="118"/>
      <c r="D199" s="122"/>
      <c r="E199" s="123"/>
      <c r="F199" s="169"/>
      <c r="G199" s="169"/>
      <c r="H199" s="244"/>
      <c r="I199" s="244"/>
      <c r="J199" s="244"/>
      <c r="K199" s="244"/>
      <c r="L199" s="244"/>
      <c r="M199" s="244"/>
      <c r="N199" s="244"/>
      <c r="O199" s="244"/>
      <c r="P199" s="244"/>
      <c r="Q199" s="253"/>
      <c r="R199" s="259"/>
      <c r="S199" s="225"/>
      <c r="T199" s="231"/>
      <c r="U199" s="225"/>
      <c r="V199" s="225"/>
      <c r="W199" s="231"/>
      <c r="X199" s="231"/>
    </row>
    <row r="200" spans="1:24" x14ac:dyDescent="0.25">
      <c r="A200" s="125">
        <v>5</v>
      </c>
      <c r="B200" s="126" t="s">
        <v>111</v>
      </c>
      <c r="C200" s="130"/>
      <c r="D200" s="129"/>
      <c r="E200" s="131"/>
      <c r="F200" s="131"/>
      <c r="G200" s="147"/>
      <c r="H200" s="241"/>
      <c r="I200" s="241"/>
      <c r="J200" s="241"/>
      <c r="K200" s="241"/>
      <c r="L200" s="241"/>
      <c r="M200" s="241"/>
      <c r="N200" s="241"/>
      <c r="O200" s="241"/>
      <c r="P200" s="241"/>
      <c r="Q200" s="252"/>
      <c r="R200" s="260"/>
      <c r="S200" s="230"/>
      <c r="T200" s="232"/>
      <c r="U200" s="230"/>
      <c r="V200" s="230"/>
      <c r="W200" s="232"/>
      <c r="X200" s="232"/>
    </row>
    <row r="201" spans="1:24" x14ac:dyDescent="0.25">
      <c r="A201" s="77" t="s">
        <v>151</v>
      </c>
      <c r="B201" s="163" t="s">
        <v>11</v>
      </c>
      <c r="C201" s="21" t="s">
        <v>712</v>
      </c>
      <c r="D201" s="25">
        <v>2</v>
      </c>
      <c r="E201" s="18">
        <v>550</v>
      </c>
      <c r="F201" s="48">
        <f>D201*E201</f>
        <v>1100</v>
      </c>
      <c r="G201" s="49">
        <f>F201*C4</f>
        <v>1100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8"/>
        <v>-1100</v>
      </c>
      <c r="T201" s="231">
        <f t="shared" si="9"/>
        <v>-1</v>
      </c>
      <c r="U201" s="225">
        <f t="shared" si="10"/>
        <v>0</v>
      </c>
      <c r="V201" s="225">
        <f t="shared" si="11"/>
        <v>-1100</v>
      </c>
      <c r="W201" s="231">
        <f t="shared" si="12"/>
        <v>-1</v>
      </c>
      <c r="X201" s="231"/>
    </row>
    <row r="202" spans="1:24" x14ac:dyDescent="0.25">
      <c r="A202" s="77" t="s">
        <v>152</v>
      </c>
      <c r="B202" s="163" t="s">
        <v>12</v>
      </c>
      <c r="C202" s="21" t="s">
        <v>712</v>
      </c>
      <c r="D202" s="25">
        <v>2</v>
      </c>
      <c r="E202" s="18">
        <v>150</v>
      </c>
      <c r="F202" s="48">
        <f>D202*E202</f>
        <v>300</v>
      </c>
      <c r="G202" s="49">
        <f>F202*C4</f>
        <v>300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8"/>
        <v>-300</v>
      </c>
      <c r="T202" s="231">
        <f t="shared" si="9"/>
        <v>-1</v>
      </c>
      <c r="U202" s="225">
        <f t="shared" si="10"/>
        <v>0</v>
      </c>
      <c r="V202" s="225">
        <f t="shared" si="11"/>
        <v>-300</v>
      </c>
      <c r="W202" s="231">
        <f t="shared" si="12"/>
        <v>-1</v>
      </c>
      <c r="X202" s="231"/>
    </row>
    <row r="203" spans="1:24" x14ac:dyDescent="0.25">
      <c r="A203" s="77" t="s">
        <v>153</v>
      </c>
      <c r="B203" s="163" t="s">
        <v>13</v>
      </c>
      <c r="C203" s="21" t="s">
        <v>436</v>
      </c>
      <c r="D203" s="25">
        <v>1</v>
      </c>
      <c r="E203" s="18">
        <v>1000</v>
      </c>
      <c r="F203" s="48">
        <f>D203*E203</f>
        <v>1000</v>
      </c>
      <c r="G203" s="49">
        <f>F203*C4</f>
        <v>1000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62"/>
      <c r="S203" s="225">
        <f t="shared" si="8"/>
        <v>-1000</v>
      </c>
      <c r="T203" s="231">
        <f t="shared" si="9"/>
        <v>-1</v>
      </c>
      <c r="U203" s="225">
        <f t="shared" si="10"/>
        <v>0</v>
      </c>
      <c r="V203" s="225">
        <f t="shared" si="11"/>
        <v>-1000</v>
      </c>
      <c r="W203" s="231">
        <f t="shared" si="12"/>
        <v>-1</v>
      </c>
      <c r="X203" s="231"/>
    </row>
    <row r="204" spans="1:24" hidden="1" x14ac:dyDescent="0.25">
      <c r="A204" s="77" t="s">
        <v>154</v>
      </c>
      <c r="B204" s="163" t="s">
        <v>14</v>
      </c>
      <c r="C204" s="21"/>
      <c r="D204" s="25"/>
      <c r="E204" s="18"/>
      <c r="F204" s="48">
        <f>D204*E204</f>
        <v>0</v>
      </c>
      <c r="G204" s="49">
        <f>F204*C4</f>
        <v>0</v>
      </c>
      <c r="H204" s="242"/>
      <c r="I204" s="242"/>
      <c r="J204" s="242"/>
      <c r="K204" s="242"/>
      <c r="L204" s="242"/>
      <c r="M204" s="242"/>
      <c r="N204" s="242"/>
      <c r="O204" s="242"/>
      <c r="P204" s="242"/>
      <c r="Q204" s="251"/>
      <c r="R204" s="262"/>
      <c r="S204" s="225">
        <f t="shared" si="8"/>
        <v>0</v>
      </c>
      <c r="T204" s="231">
        <f t="shared" si="9"/>
        <v>0</v>
      </c>
      <c r="U204" s="225">
        <f t="shared" si="10"/>
        <v>0</v>
      </c>
      <c r="V204" s="225">
        <f t="shared" si="11"/>
        <v>0</v>
      </c>
      <c r="W204" s="231">
        <f t="shared" si="12"/>
        <v>0</v>
      </c>
      <c r="X204" s="231"/>
    </row>
    <row r="205" spans="1:24" ht="39.6" x14ac:dyDescent="0.25">
      <c r="A205" s="77" t="s">
        <v>155</v>
      </c>
      <c r="B205" s="163" t="s">
        <v>56</v>
      </c>
      <c r="C205" s="21" t="s">
        <v>436</v>
      </c>
      <c r="D205" s="25">
        <v>1</v>
      </c>
      <c r="E205" s="18">
        <v>1000</v>
      </c>
      <c r="F205" s="48">
        <f>D205*E205</f>
        <v>1000</v>
      </c>
      <c r="G205" s="49">
        <f>F205*C4</f>
        <v>1000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62"/>
      <c r="S205" s="225">
        <f t="shared" si="8"/>
        <v>-1000</v>
      </c>
      <c r="T205" s="231">
        <f t="shared" si="9"/>
        <v>-1</v>
      </c>
      <c r="U205" s="225">
        <f t="shared" si="10"/>
        <v>0</v>
      </c>
      <c r="V205" s="225">
        <f t="shared" si="11"/>
        <v>-1000</v>
      </c>
      <c r="W205" s="231">
        <f t="shared" si="12"/>
        <v>-1</v>
      </c>
      <c r="X205" s="231"/>
    </row>
    <row r="206" spans="1:24" x14ac:dyDescent="0.25">
      <c r="B206" s="163"/>
      <c r="C206" s="6"/>
      <c r="D206" s="7"/>
      <c r="E206" s="8"/>
      <c r="F206" s="48"/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57"/>
      <c r="S206" s="225"/>
      <c r="T206" s="231"/>
      <c r="U206" s="225"/>
      <c r="V206" s="225"/>
      <c r="W206" s="231"/>
      <c r="X206" s="231"/>
    </row>
    <row r="207" spans="1:24" ht="13.8" thickBot="1" x14ac:dyDescent="0.3">
      <c r="A207" s="99"/>
      <c r="B207" s="146" t="s">
        <v>112</v>
      </c>
      <c r="C207" s="118"/>
      <c r="D207" s="122"/>
      <c r="E207" s="123"/>
      <c r="F207" s="50">
        <f>SUM(F201:F205)</f>
        <v>3400</v>
      </c>
      <c r="G207" s="50">
        <f>SUM(G201:G205)</f>
        <v>3400</v>
      </c>
      <c r="H207" s="244"/>
      <c r="I207" s="244"/>
      <c r="J207" s="244"/>
      <c r="K207" s="244"/>
      <c r="L207" s="244"/>
      <c r="M207" s="244"/>
      <c r="N207" s="244"/>
      <c r="O207" s="244"/>
      <c r="P207" s="244"/>
      <c r="Q207" s="253"/>
      <c r="R207" s="263"/>
      <c r="S207" s="237">
        <f t="shared" si="8"/>
        <v>-3400</v>
      </c>
      <c r="T207" s="238">
        <f t="shared" si="9"/>
        <v>-1</v>
      </c>
      <c r="U207" s="237">
        <f t="shared" si="10"/>
        <v>0</v>
      </c>
      <c r="V207" s="237">
        <f t="shared" si="11"/>
        <v>-3400</v>
      </c>
      <c r="W207" s="238">
        <f t="shared" si="12"/>
        <v>-1</v>
      </c>
      <c r="X207" s="238"/>
    </row>
    <row r="208" spans="1:24" ht="13.8" thickTop="1" x14ac:dyDescent="0.25">
      <c r="B208" s="163"/>
      <c r="F208" s="48"/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57"/>
      <c r="S208" s="225"/>
      <c r="T208" s="231"/>
      <c r="U208" s="225"/>
      <c r="V208" s="225"/>
      <c r="W208" s="231"/>
      <c r="X208" s="231"/>
    </row>
    <row r="209" spans="1:24" x14ac:dyDescent="0.25">
      <c r="A209" s="125">
        <v>6</v>
      </c>
      <c r="B209" s="126" t="s">
        <v>113</v>
      </c>
      <c r="C209" s="130"/>
      <c r="D209" s="129"/>
      <c r="E209" s="131"/>
      <c r="F209" s="131"/>
      <c r="G209" s="147"/>
      <c r="H209" s="241"/>
      <c r="I209" s="241"/>
      <c r="J209" s="241"/>
      <c r="K209" s="241"/>
      <c r="L209" s="241"/>
      <c r="M209" s="241"/>
      <c r="N209" s="241"/>
      <c r="O209" s="241"/>
      <c r="P209" s="241"/>
      <c r="Q209" s="252"/>
      <c r="R209" s="260"/>
      <c r="S209" s="230"/>
      <c r="T209" s="232"/>
      <c r="U209" s="230"/>
      <c r="V209" s="230"/>
      <c r="W209" s="232"/>
      <c r="X209" s="232"/>
    </row>
    <row r="210" spans="1:24" hidden="1" x14ac:dyDescent="0.25">
      <c r="A210" s="99" t="s">
        <v>114</v>
      </c>
      <c r="B210" s="99" t="s">
        <v>71</v>
      </c>
      <c r="C210" s="2"/>
      <c r="D210" s="142"/>
      <c r="E210" s="143"/>
      <c r="F210" s="3"/>
      <c r="G210" s="53"/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56"/>
      <c r="S210" s="225"/>
      <c r="T210" s="231"/>
      <c r="U210" s="225"/>
      <c r="V210" s="225"/>
      <c r="W210" s="231"/>
      <c r="X210" s="231"/>
    </row>
    <row r="211" spans="1:24" hidden="1" x14ac:dyDescent="0.25">
      <c r="A211" s="109" t="s">
        <v>115</v>
      </c>
      <c r="B211" s="170" t="s">
        <v>72</v>
      </c>
      <c r="C211" s="35"/>
      <c r="D211" s="36"/>
      <c r="E211" s="39"/>
      <c r="F211" s="3">
        <f>D211*E211</f>
        <v>0</v>
      </c>
      <c r="G211" s="53">
        <f>F211*C4</f>
        <v>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si="8"/>
        <v>0</v>
      </c>
      <c r="T211" s="231">
        <f t="shared" si="9"/>
        <v>0</v>
      </c>
      <c r="U211" s="225">
        <f t="shared" si="10"/>
        <v>0</v>
      </c>
      <c r="V211" s="225">
        <f t="shared" si="11"/>
        <v>0</v>
      </c>
      <c r="W211" s="231">
        <f t="shared" si="12"/>
        <v>0</v>
      </c>
      <c r="X211" s="231"/>
    </row>
    <row r="212" spans="1:24" hidden="1" x14ac:dyDescent="0.25">
      <c r="A212" s="109" t="s">
        <v>116</v>
      </c>
      <c r="B212" s="170" t="s">
        <v>73</v>
      </c>
      <c r="C212" s="35"/>
      <c r="D212" s="36"/>
      <c r="E212" s="39"/>
      <c r="F212" s="3">
        <f>D212*E212</f>
        <v>0</v>
      </c>
      <c r="G212" s="53">
        <f>F212*C4</f>
        <v>0</v>
      </c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62"/>
      <c r="S212" s="225">
        <f t="shared" si="8"/>
        <v>0</v>
      </c>
      <c r="T212" s="231">
        <f t="shared" si="9"/>
        <v>0</v>
      </c>
      <c r="U212" s="225">
        <f t="shared" si="10"/>
        <v>0</v>
      </c>
      <c r="V212" s="225">
        <f t="shared" si="11"/>
        <v>0</v>
      </c>
      <c r="W212" s="231">
        <f t="shared" si="12"/>
        <v>0</v>
      </c>
      <c r="X212" s="231"/>
    </row>
    <row r="213" spans="1:24" hidden="1" x14ac:dyDescent="0.25">
      <c r="A213" s="109" t="s">
        <v>117</v>
      </c>
      <c r="B213" s="170" t="s">
        <v>74</v>
      </c>
      <c r="C213" s="35"/>
      <c r="D213" s="36"/>
      <c r="E213" s="39"/>
      <c r="F213" s="3">
        <f>D213*E213</f>
        <v>0</v>
      </c>
      <c r="G213" s="53">
        <f>F213*C4</f>
        <v>0</v>
      </c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62"/>
      <c r="S213" s="225">
        <f t="shared" si="8"/>
        <v>0</v>
      </c>
      <c r="T213" s="231">
        <f t="shared" si="9"/>
        <v>0</v>
      </c>
      <c r="U213" s="225">
        <f t="shared" si="10"/>
        <v>0</v>
      </c>
      <c r="V213" s="225">
        <f t="shared" si="11"/>
        <v>0</v>
      </c>
      <c r="W213" s="231">
        <f t="shared" si="12"/>
        <v>0</v>
      </c>
      <c r="X213" s="231"/>
    </row>
    <row r="214" spans="1:24" hidden="1" x14ac:dyDescent="0.25">
      <c r="A214" s="109" t="s">
        <v>118</v>
      </c>
      <c r="B214" s="170" t="s">
        <v>75</v>
      </c>
      <c r="C214" s="35"/>
      <c r="D214" s="36"/>
      <c r="E214" s="39"/>
      <c r="F214" s="3">
        <f>D214*E214</f>
        <v>0</v>
      </c>
      <c r="G214" s="53">
        <f>F214*C4</f>
        <v>0</v>
      </c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62"/>
      <c r="S214" s="225">
        <f>R214-F214</f>
        <v>0</v>
      </c>
      <c r="T214" s="231">
        <f>IF(F214=0,0,S214/F214)</f>
        <v>0</v>
      </c>
      <c r="U214" s="225">
        <f>R214*$C$4</f>
        <v>0</v>
      </c>
      <c r="V214" s="225">
        <f>U214-G214</f>
        <v>0</v>
      </c>
      <c r="W214" s="231">
        <f>IF(G214=0,0,V214/G214)</f>
        <v>0</v>
      </c>
      <c r="X214" s="231"/>
    </row>
    <row r="215" spans="1:24" hidden="1" x14ac:dyDescent="0.25">
      <c r="A215" s="99"/>
      <c r="B215" s="170"/>
      <c r="C215" s="40"/>
      <c r="D215" s="41"/>
      <c r="E215" s="42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ht="13.8" hidden="1" thickBot="1" x14ac:dyDescent="0.3">
      <c r="A216" s="99"/>
      <c r="B216" s="146" t="s">
        <v>76</v>
      </c>
      <c r="C216" s="172"/>
      <c r="D216" s="171"/>
      <c r="E216" s="173"/>
      <c r="F216" s="50">
        <f>SUM(F211:F214)</f>
        <v>0</v>
      </c>
      <c r="G216" s="50">
        <f>SUM(G211:G214)</f>
        <v>0</v>
      </c>
      <c r="H216" s="244"/>
      <c r="I216" s="244"/>
      <c r="J216" s="244"/>
      <c r="K216" s="244"/>
      <c r="L216" s="244"/>
      <c r="M216" s="244"/>
      <c r="N216" s="244"/>
      <c r="O216" s="244"/>
      <c r="P216" s="244"/>
      <c r="Q216" s="253"/>
      <c r="R216" s="263"/>
      <c r="S216" s="237">
        <f>R216-F216</f>
        <v>0</v>
      </c>
      <c r="T216" s="238">
        <f>IF(F216=0,0,S216/F216)</f>
        <v>0</v>
      </c>
      <c r="U216" s="237">
        <f>R216*$C$4</f>
        <v>0</v>
      </c>
      <c r="V216" s="237">
        <f>U216-G216</f>
        <v>0</v>
      </c>
      <c r="W216" s="238">
        <f>IF(G216=0,0,V216/G216)</f>
        <v>0</v>
      </c>
      <c r="X216" s="238"/>
    </row>
    <row r="217" spans="1:24" hidden="1" x14ac:dyDescent="0.25">
      <c r="B217" s="174"/>
      <c r="F217" s="175"/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57"/>
      <c r="S217" s="225"/>
      <c r="T217" s="231"/>
      <c r="U217" s="225"/>
      <c r="V217" s="225"/>
      <c r="W217" s="231"/>
      <c r="X217" s="231"/>
    </row>
    <row r="218" spans="1:24" x14ac:dyDescent="0.25">
      <c r="A218" s="99" t="s">
        <v>119</v>
      </c>
      <c r="B218" s="99" t="s">
        <v>193</v>
      </c>
      <c r="C218" s="2"/>
      <c r="D218" s="142"/>
      <c r="E218" s="143"/>
      <c r="F218" s="3"/>
      <c r="G218" s="53"/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56"/>
      <c r="S218" s="225"/>
      <c r="T218" s="231"/>
      <c r="U218" s="225"/>
      <c r="V218" s="225"/>
      <c r="W218" s="231"/>
      <c r="X218" s="231"/>
    </row>
    <row r="219" spans="1:24" hidden="1" x14ac:dyDescent="0.25">
      <c r="A219" s="109" t="s">
        <v>120</v>
      </c>
      <c r="B219" s="170" t="s">
        <v>129</v>
      </c>
      <c r="C219" s="35"/>
      <c r="D219" s="36"/>
      <c r="E219" s="39"/>
      <c r="F219" s="3">
        <f>D219*E219</f>
        <v>0</v>
      </c>
      <c r="G219" s="53">
        <f>F219*C4</f>
        <v>0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>R219-F219</f>
        <v>0</v>
      </c>
      <c r="T219" s="231">
        <f>IF(F219=0,0,S219/F219)</f>
        <v>0</v>
      </c>
      <c r="U219" s="225">
        <f>R219*$C$4</f>
        <v>0</v>
      </c>
      <c r="V219" s="225">
        <f>U219-G219</f>
        <v>0</v>
      </c>
      <c r="W219" s="231">
        <f>IF(G219=0,0,V219/G219)</f>
        <v>0</v>
      </c>
      <c r="X219" s="231"/>
    </row>
    <row r="220" spans="1:24" hidden="1" x14ac:dyDescent="0.25">
      <c r="A220" s="109" t="s">
        <v>121</v>
      </c>
      <c r="B220" s="170" t="s">
        <v>130</v>
      </c>
      <c r="C220" s="35"/>
      <c r="D220" s="36"/>
      <c r="E220" s="39"/>
      <c r="F220" s="3">
        <f>D220*E220</f>
        <v>0</v>
      </c>
      <c r="G220" s="53">
        <f>F220*C4</f>
        <v>0</v>
      </c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62"/>
      <c r="S220" s="225">
        <f>R220-F220</f>
        <v>0</v>
      </c>
      <c r="T220" s="231">
        <f>IF(F220=0,0,S220/F220)</f>
        <v>0</v>
      </c>
      <c r="U220" s="225">
        <f>R220*$C$4</f>
        <v>0</v>
      </c>
      <c r="V220" s="225">
        <f>U220-G220</f>
        <v>0</v>
      </c>
      <c r="W220" s="231">
        <f>IF(G220=0,0,V220/G220)</f>
        <v>0</v>
      </c>
      <c r="X220" s="231"/>
    </row>
    <row r="221" spans="1:24" hidden="1" x14ac:dyDescent="0.25">
      <c r="A221" s="109" t="s">
        <v>122</v>
      </c>
      <c r="B221" s="170" t="s">
        <v>128</v>
      </c>
      <c r="C221" s="35"/>
      <c r="D221" s="36"/>
      <c r="E221" s="39"/>
      <c r="F221" s="3">
        <f>D221*E221</f>
        <v>0</v>
      </c>
      <c r="G221" s="53">
        <f>F221*C4</f>
        <v>0</v>
      </c>
      <c r="H221" s="242"/>
      <c r="I221" s="242"/>
      <c r="J221" s="242"/>
      <c r="K221" s="242"/>
      <c r="L221" s="242"/>
      <c r="M221" s="242"/>
      <c r="N221" s="242"/>
      <c r="O221" s="242"/>
      <c r="P221" s="242"/>
      <c r="Q221" s="251"/>
      <c r="R221" s="262"/>
      <c r="S221" s="225">
        <f>R221-F221</f>
        <v>0</v>
      </c>
      <c r="T221" s="231">
        <f>IF(F221=0,0,S221/F221)</f>
        <v>0</v>
      </c>
      <c r="U221" s="225">
        <f>R221*$C$4</f>
        <v>0</v>
      </c>
      <c r="V221" s="225">
        <f>U221-G221</f>
        <v>0</v>
      </c>
      <c r="W221" s="231">
        <f>IF(G221=0,0,V221/G221)</f>
        <v>0</v>
      </c>
      <c r="X221" s="231"/>
    </row>
    <row r="222" spans="1:24" x14ac:dyDescent="0.25">
      <c r="A222" s="109" t="s">
        <v>123</v>
      </c>
      <c r="B222" s="170" t="s">
        <v>370</v>
      </c>
      <c r="C222" s="21" t="s">
        <v>436</v>
      </c>
      <c r="D222" s="25">
        <v>1</v>
      </c>
      <c r="E222" s="18">
        <v>3000</v>
      </c>
      <c r="F222" s="3">
        <f>D222*E222</f>
        <v>3000</v>
      </c>
      <c r="G222" s="53">
        <f>F222*C4</f>
        <v>3000</v>
      </c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62"/>
      <c r="S222" s="225">
        <f>R222-F222</f>
        <v>-3000</v>
      </c>
      <c r="T222" s="231">
        <f>IF(F222=0,0,S222/F222)</f>
        <v>-1</v>
      </c>
      <c r="U222" s="225">
        <f>R222*$C$4</f>
        <v>0</v>
      </c>
      <c r="V222" s="225">
        <f>U222-G222</f>
        <v>-3000</v>
      </c>
      <c r="W222" s="231">
        <f>IF(G222=0,0,V222/G222)</f>
        <v>-1</v>
      </c>
      <c r="X222" s="231"/>
    </row>
    <row r="223" spans="1:24" x14ac:dyDescent="0.25">
      <c r="A223" s="99"/>
      <c r="B223" s="170"/>
      <c r="C223" s="40"/>
      <c r="D223" s="41"/>
      <c r="E223" s="42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ht="13.8" thickBot="1" x14ac:dyDescent="0.3">
      <c r="A224" s="99"/>
      <c r="B224" s="146" t="s">
        <v>194</v>
      </c>
      <c r="C224" s="172"/>
      <c r="D224" s="171"/>
      <c r="E224" s="173"/>
      <c r="F224" s="50">
        <f>SUM(F219:F222)</f>
        <v>3000</v>
      </c>
      <c r="G224" s="50">
        <f>SUM(G219:G222)</f>
        <v>3000</v>
      </c>
      <c r="H224" s="244"/>
      <c r="I224" s="244"/>
      <c r="J224" s="244"/>
      <c r="K224" s="244"/>
      <c r="L224" s="244"/>
      <c r="M224" s="244"/>
      <c r="N224" s="244"/>
      <c r="O224" s="244"/>
      <c r="P224" s="244"/>
      <c r="Q224" s="253"/>
      <c r="R224" s="263"/>
      <c r="S224" s="237">
        <f>R224-F224</f>
        <v>-3000</v>
      </c>
      <c r="T224" s="238">
        <f>IF(F224=0,0,S224/F224)</f>
        <v>-1</v>
      </c>
      <c r="U224" s="237">
        <f>R224*$C$4</f>
        <v>0</v>
      </c>
      <c r="V224" s="237">
        <f>U224-G224</f>
        <v>-3000</v>
      </c>
      <c r="W224" s="238">
        <f>IF(G224=0,0,V224/G224)</f>
        <v>-1</v>
      </c>
      <c r="X224" s="238"/>
    </row>
    <row r="225" spans="1:24" ht="13.8" thickTop="1" x14ac:dyDescent="0.25">
      <c r="B225" s="174"/>
      <c r="F225" s="175"/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57"/>
      <c r="S225" s="225"/>
      <c r="T225" s="231"/>
      <c r="U225" s="225"/>
      <c r="V225" s="225"/>
      <c r="W225" s="231"/>
      <c r="X225" s="231"/>
    </row>
    <row r="226" spans="1:24" x14ac:dyDescent="0.25">
      <c r="A226" s="99" t="s">
        <v>157</v>
      </c>
      <c r="B226" s="99" t="s">
        <v>156</v>
      </c>
      <c r="C226" s="2"/>
      <c r="D226" s="142"/>
      <c r="E226" s="143"/>
      <c r="F226" s="3"/>
      <c r="G226" s="53"/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56"/>
      <c r="S226" s="225"/>
      <c r="T226" s="231"/>
      <c r="U226" s="225"/>
      <c r="V226" s="225"/>
      <c r="W226" s="231"/>
      <c r="X226" s="231"/>
    </row>
    <row r="227" spans="1:24" x14ac:dyDescent="0.25">
      <c r="A227" s="109" t="s">
        <v>162</v>
      </c>
      <c r="B227" s="170" t="s">
        <v>294</v>
      </c>
      <c r="C227" s="21" t="s">
        <v>436</v>
      </c>
      <c r="D227" s="25">
        <v>1</v>
      </c>
      <c r="E227" s="18">
        <v>10000</v>
      </c>
      <c r="F227" s="3">
        <f>D227*E227</f>
        <v>10000</v>
      </c>
      <c r="G227" s="53">
        <f>F227*C4</f>
        <v>10000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>
        <f>R227-F227</f>
        <v>-10000</v>
      </c>
      <c r="T227" s="231">
        <f>IF(F227=0,0,S227/F227)</f>
        <v>-1</v>
      </c>
      <c r="U227" s="225">
        <f>R227*$C$4</f>
        <v>0</v>
      </c>
      <c r="V227" s="225">
        <f>U227-G227</f>
        <v>-10000</v>
      </c>
      <c r="W227" s="231">
        <f>IF(G227=0,0,V227/G227)</f>
        <v>-1</v>
      </c>
      <c r="X227" s="231"/>
    </row>
    <row r="228" spans="1:24" hidden="1" x14ac:dyDescent="0.25">
      <c r="A228" s="109" t="s">
        <v>163</v>
      </c>
      <c r="B228" s="170" t="s">
        <v>159</v>
      </c>
      <c r="C228" s="35"/>
      <c r="D228" s="36"/>
      <c r="E228" s="39"/>
      <c r="F228" s="3">
        <f>D228*E228</f>
        <v>0</v>
      </c>
      <c r="G228" s="53">
        <f>F228*C4</f>
        <v>0</v>
      </c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62"/>
      <c r="S228" s="225">
        <f>R228-F228</f>
        <v>0</v>
      </c>
      <c r="T228" s="231">
        <f>IF(F228=0,0,S228/F228)</f>
        <v>0</v>
      </c>
      <c r="U228" s="225">
        <f>R228*$C$4</f>
        <v>0</v>
      </c>
      <c r="V228" s="225">
        <f>U228-G228</f>
        <v>0</v>
      </c>
      <c r="W228" s="231">
        <f>IF(G228=0,0,V228/G228)</f>
        <v>0</v>
      </c>
      <c r="X228" s="231"/>
    </row>
    <row r="229" spans="1:24" hidden="1" x14ac:dyDescent="0.25">
      <c r="A229" s="109" t="s">
        <v>164</v>
      </c>
      <c r="B229" s="170" t="s">
        <v>160</v>
      </c>
      <c r="C229" s="35"/>
      <c r="D229" s="36"/>
      <c r="E229" s="39"/>
      <c r="F229" s="3">
        <f>D229*E229</f>
        <v>0</v>
      </c>
      <c r="G229" s="53">
        <f>F229*C4</f>
        <v>0</v>
      </c>
      <c r="H229" s="242"/>
      <c r="I229" s="242"/>
      <c r="J229" s="242"/>
      <c r="K229" s="242"/>
      <c r="L229" s="242"/>
      <c r="M229" s="242"/>
      <c r="N229" s="242"/>
      <c r="O229" s="242"/>
      <c r="P229" s="242"/>
      <c r="Q229" s="251"/>
      <c r="R229" s="262"/>
      <c r="S229" s="225">
        <f>R229-F229</f>
        <v>0</v>
      </c>
      <c r="T229" s="231">
        <f>IF(F229=0,0,S229/F229)</f>
        <v>0</v>
      </c>
      <c r="U229" s="225">
        <f>R229*$C$4</f>
        <v>0</v>
      </c>
      <c r="V229" s="225">
        <f>U229-G229</f>
        <v>0</v>
      </c>
      <c r="W229" s="231">
        <f>IF(G229=0,0,V229/G229)</f>
        <v>0</v>
      </c>
      <c r="X229" s="231"/>
    </row>
    <row r="230" spans="1:24" x14ac:dyDescent="0.25">
      <c r="A230" s="99"/>
      <c r="B230" s="170"/>
      <c r="C230" s="40"/>
      <c r="D230" s="41"/>
      <c r="E230" s="42"/>
      <c r="F230" s="3"/>
      <c r="G230" s="53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6"/>
      <c r="S230" s="237"/>
      <c r="T230" s="238"/>
      <c r="U230" s="237"/>
      <c r="V230" s="237"/>
      <c r="W230" s="238"/>
      <c r="X230" s="238"/>
    </row>
    <row r="231" spans="1:24" ht="13.8" thickBot="1" x14ac:dyDescent="0.3">
      <c r="A231" s="99"/>
      <c r="B231" s="146" t="s">
        <v>161</v>
      </c>
      <c r="C231" s="172"/>
      <c r="D231" s="171"/>
      <c r="E231" s="173"/>
      <c r="F231" s="50">
        <f>SUM(F227:F229)</f>
        <v>10000</v>
      </c>
      <c r="G231" s="50">
        <f>SUM(G227:G229)</f>
        <v>10000</v>
      </c>
      <c r="H231" s="244"/>
      <c r="I231" s="244"/>
      <c r="J231" s="244"/>
      <c r="K231" s="244"/>
      <c r="L231" s="244"/>
      <c r="M231" s="244"/>
      <c r="N231" s="244"/>
      <c r="O231" s="244"/>
      <c r="P231" s="244"/>
      <c r="Q231" s="253"/>
      <c r="R231" s="263"/>
      <c r="S231" s="237">
        <f>R231-F231</f>
        <v>-10000</v>
      </c>
      <c r="T231" s="238">
        <f>IF(F231=0,0,S231/F231)</f>
        <v>-1</v>
      </c>
      <c r="U231" s="237">
        <f>R231*$C$4</f>
        <v>0</v>
      </c>
      <c r="V231" s="237">
        <f>U231-G231</f>
        <v>-10000</v>
      </c>
      <c r="W231" s="238">
        <f>IF(G231=0,0,V231/G231)</f>
        <v>-1</v>
      </c>
      <c r="X231" s="238"/>
    </row>
    <row r="232" spans="1:24" ht="13.8" thickTop="1" x14ac:dyDescent="0.25">
      <c r="A232" s="99"/>
      <c r="B232" s="146"/>
      <c r="C232" s="172"/>
      <c r="D232" s="171"/>
      <c r="E232" s="173"/>
      <c r="F232" s="169"/>
      <c r="G232" s="169"/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/>
      <c r="S232" s="237"/>
      <c r="T232" s="238"/>
      <c r="U232" s="237"/>
      <c r="V232" s="237"/>
      <c r="W232" s="238"/>
      <c r="X232" s="238"/>
    </row>
    <row r="233" spans="1:24" x14ac:dyDescent="0.25">
      <c r="A233" s="99" t="s">
        <v>310</v>
      </c>
      <c r="B233" s="146" t="s">
        <v>313</v>
      </c>
      <c r="C233" s="172"/>
      <c r="D233" s="171"/>
      <c r="E233" s="173"/>
      <c r="F233" s="169"/>
      <c r="G233" s="169"/>
      <c r="H233" s="244"/>
      <c r="I233" s="244"/>
      <c r="J233" s="244"/>
      <c r="K233" s="244"/>
      <c r="L233" s="244"/>
      <c r="M233" s="244"/>
      <c r="N233" s="244"/>
      <c r="O233" s="244"/>
      <c r="P233" s="244"/>
      <c r="Q233" s="253"/>
      <c r="R233" s="263"/>
      <c r="S233" s="237"/>
      <c r="T233" s="238"/>
      <c r="U233" s="237"/>
      <c r="V233" s="237"/>
      <c r="W233" s="238"/>
      <c r="X233" s="238"/>
    </row>
    <row r="234" spans="1:24" x14ac:dyDescent="0.25">
      <c r="A234" s="109" t="s">
        <v>315</v>
      </c>
      <c r="B234" s="157" t="s">
        <v>314</v>
      </c>
      <c r="C234" s="172"/>
      <c r="D234" s="171"/>
      <c r="E234" s="173">
        <f ca="1">F260/1.03*3%</f>
        <v>17053.125</v>
      </c>
      <c r="F234" s="169">
        <f ca="1">E234</f>
        <v>17053.125</v>
      </c>
      <c r="G234" s="169">
        <f ca="1">F234*C4</f>
        <v>17053.125</v>
      </c>
      <c r="H234" s="244"/>
      <c r="I234" s="244"/>
      <c r="J234" s="244"/>
      <c r="K234" s="244"/>
      <c r="L234" s="244"/>
      <c r="M234" s="244"/>
      <c r="N234" s="244"/>
      <c r="O234" s="244"/>
      <c r="P234" s="244"/>
      <c r="Q234" s="253"/>
      <c r="R234" s="263" t="e">
        <f>#REF!/1.03*3%</f>
        <v>#REF!</v>
      </c>
      <c r="S234" s="237"/>
      <c r="T234" s="238"/>
      <c r="U234" s="237" t="e">
        <f>R234*C4</f>
        <v>#REF!</v>
      </c>
      <c r="V234" s="237"/>
      <c r="W234" s="238"/>
      <c r="X234" s="238"/>
    </row>
    <row r="235" spans="1:24" x14ac:dyDescent="0.25">
      <c r="A235" s="109"/>
      <c r="B235" s="157"/>
      <c r="C235" s="172"/>
      <c r="D235" s="171"/>
      <c r="E235" s="173"/>
      <c r="F235" s="169"/>
      <c r="G235" s="169"/>
      <c r="H235" s="244"/>
      <c r="I235" s="244"/>
      <c r="J235" s="244"/>
      <c r="K235" s="244"/>
      <c r="L235" s="244"/>
      <c r="M235" s="244"/>
      <c r="N235" s="244"/>
      <c r="O235" s="244"/>
      <c r="P235" s="244"/>
      <c r="Q235" s="253"/>
      <c r="R235" s="263"/>
      <c r="S235" s="237"/>
      <c r="T235" s="238"/>
      <c r="U235" s="237"/>
      <c r="V235" s="237"/>
      <c r="W235" s="238"/>
      <c r="X235" s="238"/>
    </row>
    <row r="236" spans="1:24" ht="13.8" thickBot="1" x14ac:dyDescent="0.3">
      <c r="A236" s="99"/>
      <c r="B236" s="146" t="s">
        <v>316</v>
      </c>
      <c r="C236" s="172"/>
      <c r="D236" s="171"/>
      <c r="E236" s="173"/>
      <c r="F236" s="50">
        <f ca="1">F234</f>
        <v>17053.125</v>
      </c>
      <c r="G236" s="50">
        <f ca="1">G234</f>
        <v>17053.125</v>
      </c>
      <c r="H236" s="267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37"/>
      <c r="T236" s="238"/>
      <c r="U236" s="237"/>
      <c r="V236" s="237"/>
      <c r="W236" s="238"/>
      <c r="X236" s="238"/>
    </row>
    <row r="237" spans="1:24" ht="13.8" thickTop="1" x14ac:dyDescent="0.25">
      <c r="A237" s="99"/>
      <c r="B237" s="146"/>
      <c r="C237" s="118"/>
      <c r="D237" s="122"/>
      <c r="E237" s="123"/>
      <c r="F237" s="169"/>
      <c r="G237" s="169"/>
      <c r="H237" s="244"/>
      <c r="I237" s="244"/>
      <c r="J237" s="244"/>
      <c r="K237" s="244"/>
      <c r="L237" s="244"/>
      <c r="M237" s="244"/>
      <c r="N237" s="244"/>
      <c r="O237" s="244"/>
      <c r="P237" s="244"/>
      <c r="Q237" s="253"/>
      <c r="R237" s="259"/>
      <c r="S237" s="225"/>
      <c r="T237" s="231"/>
      <c r="U237" s="225"/>
      <c r="V237" s="225"/>
      <c r="W237" s="231"/>
      <c r="X237" s="231"/>
    </row>
    <row r="238" spans="1:24" ht="13.8" thickBot="1" x14ac:dyDescent="0.3">
      <c r="A238" s="176"/>
      <c r="B238" s="177" t="s">
        <v>49</v>
      </c>
      <c r="C238" s="179"/>
      <c r="D238" s="178"/>
      <c r="E238" s="180"/>
      <c r="F238" s="54">
        <f ca="1">SUM(F103+F167+F179+F198+F207+F216+F224+F231+F236)</f>
        <v>542618.125</v>
      </c>
      <c r="G238" s="54">
        <f ca="1">F238*C4</f>
        <v>542618.125</v>
      </c>
      <c r="H238" s="244"/>
      <c r="I238" s="244"/>
      <c r="J238" s="244"/>
      <c r="K238" s="244"/>
      <c r="L238" s="244"/>
      <c r="M238" s="244"/>
      <c r="N238" s="244"/>
      <c r="O238" s="244"/>
      <c r="P238" s="244"/>
      <c r="Q238" s="253"/>
      <c r="R238" s="263"/>
      <c r="S238" s="226">
        <f ca="1">R238-F238</f>
        <v>-542618.125</v>
      </c>
      <c r="T238" s="236">
        <f ca="1">IF(F238=0,0,S238/F238)</f>
        <v>-1</v>
      </c>
      <c r="U238" s="226">
        <f>R238*$C$4</f>
        <v>0</v>
      </c>
      <c r="V238" s="226">
        <f ca="1">U238-G238</f>
        <v>-542618.125</v>
      </c>
      <c r="W238" s="236">
        <f ca="1">IF(G238=0,0,V238/G238)</f>
        <v>-1</v>
      </c>
      <c r="X238" s="268"/>
    </row>
    <row r="239" spans="1:24" ht="13.8" thickTop="1" x14ac:dyDescent="0.25">
      <c r="B239" s="87"/>
      <c r="F239" s="48"/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57"/>
      <c r="S239" s="225"/>
      <c r="T239" s="231"/>
      <c r="U239" s="225"/>
      <c r="V239" s="225"/>
      <c r="W239" s="231"/>
      <c r="X239" s="231"/>
    </row>
    <row r="240" spans="1:24" x14ac:dyDescent="0.25">
      <c r="A240" s="70" t="s">
        <v>57</v>
      </c>
      <c r="F240" s="48"/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57"/>
      <c r="S240" s="225"/>
      <c r="T240" s="231"/>
      <c r="U240" s="225"/>
      <c r="V240" s="225"/>
      <c r="W240" s="231"/>
      <c r="X240" s="231"/>
    </row>
    <row r="241" spans="1:24" x14ac:dyDescent="0.25">
      <c r="A241" s="70" t="s">
        <v>18</v>
      </c>
      <c r="B241" s="181" t="s">
        <v>9</v>
      </c>
      <c r="F241" s="48"/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57"/>
      <c r="S241" s="225"/>
      <c r="T241" s="231"/>
      <c r="U241" s="225"/>
      <c r="V241" s="225"/>
      <c r="W241" s="231"/>
      <c r="X241" s="231"/>
    </row>
    <row r="242" spans="1:24" x14ac:dyDescent="0.25">
      <c r="B242" s="149" t="s">
        <v>745</v>
      </c>
      <c r="C242" s="21" t="s">
        <v>392</v>
      </c>
      <c r="D242" s="25">
        <v>12</v>
      </c>
      <c r="E242" s="18">
        <f>5000*25%+5000/12*25%</f>
        <v>1354.1666666666667</v>
      </c>
      <c r="F242" s="48">
        <f t="shared" ref="F242:F247" si="14">D242*E242</f>
        <v>16250</v>
      </c>
      <c r="G242" s="49">
        <f t="shared" ref="G242:G247" si="15">F242*$C$4</f>
        <v>16250</v>
      </c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62"/>
      <c r="S242" s="225">
        <f>R242-F242</f>
        <v>-16250</v>
      </c>
      <c r="T242" s="231">
        <f>IF(F242=0,0,S242/F242)</f>
        <v>-1</v>
      </c>
      <c r="U242" s="225">
        <f>R242*$C$4</f>
        <v>0</v>
      </c>
      <c r="V242" s="225">
        <f>U242-G242</f>
        <v>-16250</v>
      </c>
      <c r="W242" s="231">
        <f>IF(G242=0,0,V242/G242)</f>
        <v>-1</v>
      </c>
      <c r="X242" s="231"/>
    </row>
    <row r="243" spans="1:24" x14ac:dyDescent="0.25">
      <c r="B243" s="149" t="s">
        <v>746</v>
      </c>
      <c r="C243" s="21" t="s">
        <v>392</v>
      </c>
      <c r="D243" s="25">
        <v>12</v>
      </c>
      <c r="E243" s="18">
        <f>(750*50%)+((750*50%)/12)+20</f>
        <v>426.25</v>
      </c>
      <c r="F243" s="48">
        <f t="shared" si="14"/>
        <v>5115</v>
      </c>
      <c r="G243" s="49">
        <f t="shared" si="15"/>
        <v>5115</v>
      </c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62"/>
      <c r="S243" s="225">
        <f>R243-F243</f>
        <v>-5115</v>
      </c>
      <c r="T243" s="231">
        <f>IF(F243=0,0,S243/F243)</f>
        <v>-1</v>
      </c>
      <c r="U243" s="225">
        <f>R243*$C$4</f>
        <v>0</v>
      </c>
      <c r="V243" s="225">
        <f>U243-G243</f>
        <v>-5115</v>
      </c>
      <c r="W243" s="231">
        <f>IF(G243=0,0,V243/G243)</f>
        <v>-1</v>
      </c>
      <c r="X243" s="231"/>
    </row>
    <row r="244" spans="1:24" x14ac:dyDescent="0.25">
      <c r="B244" s="149" t="s">
        <v>747</v>
      </c>
      <c r="C244" s="21" t="s">
        <v>392</v>
      </c>
      <c r="D244" s="25">
        <v>12</v>
      </c>
      <c r="E244" s="18">
        <f>(475*50%)+((475*50%)/12)+20</f>
        <v>277.29166666666669</v>
      </c>
      <c r="F244" s="48">
        <f t="shared" si="14"/>
        <v>3327.5</v>
      </c>
      <c r="G244" s="49">
        <f t="shared" si="15"/>
        <v>3327.5</v>
      </c>
      <c r="H244" s="242"/>
      <c r="I244" s="242"/>
      <c r="J244" s="242"/>
      <c r="K244" s="242"/>
      <c r="L244" s="242"/>
      <c r="M244" s="242"/>
      <c r="N244" s="242"/>
      <c r="O244" s="242"/>
      <c r="P244" s="242"/>
      <c r="Q244" s="251"/>
      <c r="R244" s="262"/>
      <c r="S244" s="225"/>
      <c r="T244" s="231"/>
      <c r="U244" s="225"/>
      <c r="V244" s="225"/>
      <c r="W244" s="231"/>
      <c r="X244" s="231"/>
    </row>
    <row r="245" spans="1:24" x14ac:dyDescent="0.25">
      <c r="B245" s="149" t="s">
        <v>748</v>
      </c>
      <c r="C245" s="21" t="s">
        <v>392</v>
      </c>
      <c r="D245" s="25">
        <v>12</v>
      </c>
      <c r="E245" s="18">
        <f>(620*50%)+((620*50%)/12)+20</f>
        <v>355.83333333333331</v>
      </c>
      <c r="F245" s="48">
        <f t="shared" si="14"/>
        <v>4270</v>
      </c>
      <c r="G245" s="49">
        <f t="shared" si="15"/>
        <v>4270</v>
      </c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62"/>
      <c r="S245" s="225"/>
      <c r="T245" s="231"/>
      <c r="U245" s="225"/>
      <c r="V245" s="225"/>
      <c r="W245" s="231"/>
      <c r="X245" s="231"/>
    </row>
    <row r="246" spans="1:24" x14ac:dyDescent="0.25">
      <c r="B246" s="149" t="s">
        <v>749</v>
      </c>
      <c r="C246" s="21" t="s">
        <v>392</v>
      </c>
      <c r="D246" s="25">
        <v>12</v>
      </c>
      <c r="E246" s="18">
        <f>(500*50%)+((500*50%)/12)+20</f>
        <v>290.83333333333331</v>
      </c>
      <c r="F246" s="48">
        <f t="shared" si="14"/>
        <v>3490</v>
      </c>
      <c r="G246" s="49">
        <f t="shared" si="15"/>
        <v>3490</v>
      </c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62"/>
      <c r="S246" s="225"/>
      <c r="T246" s="231"/>
      <c r="U246" s="225"/>
      <c r="V246" s="225"/>
      <c r="W246" s="231"/>
      <c r="X246" s="231"/>
    </row>
    <row r="247" spans="1:24" ht="26.4" x14ac:dyDescent="0.25">
      <c r="B247" s="149" t="s">
        <v>750</v>
      </c>
      <c r="C247" s="21" t="s">
        <v>392</v>
      </c>
      <c r="D247" s="25">
        <f>12*3</f>
        <v>36</v>
      </c>
      <c r="E247" s="18">
        <f>(200*50%)+((200*50%)/12)+20</f>
        <v>128.33333333333331</v>
      </c>
      <c r="F247" s="48">
        <f t="shared" si="14"/>
        <v>4619.9999999999991</v>
      </c>
      <c r="G247" s="49">
        <f t="shared" si="15"/>
        <v>4619.9999999999991</v>
      </c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62"/>
      <c r="S247" s="225">
        <f>R247-F247</f>
        <v>-4619.9999999999991</v>
      </c>
      <c r="T247" s="231">
        <f>IF(F247=0,0,S247/F247)</f>
        <v>-1</v>
      </c>
      <c r="U247" s="225">
        <f>R247*$C$4</f>
        <v>0</v>
      </c>
      <c r="V247" s="225">
        <f>U247-G247</f>
        <v>-4619.9999999999991</v>
      </c>
      <c r="W247" s="231">
        <f>IF(G247=0,0,V247/G247)</f>
        <v>-1</v>
      </c>
      <c r="X247" s="231"/>
    </row>
    <row r="248" spans="1:24" x14ac:dyDescent="0.25">
      <c r="B248" s="182" t="s">
        <v>35</v>
      </c>
      <c r="C248" s="6"/>
      <c r="D248" s="7"/>
      <c r="E248" s="8"/>
      <c r="F248" s="48"/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57"/>
      <c r="S248" s="225"/>
      <c r="T248" s="231"/>
      <c r="U248" s="225"/>
      <c r="V248" s="225"/>
      <c r="W248" s="231"/>
      <c r="X248" s="231"/>
    </row>
    <row r="249" spans="1:24" x14ac:dyDescent="0.25">
      <c r="B249" s="137" t="s">
        <v>719</v>
      </c>
      <c r="C249" s="21" t="s">
        <v>392</v>
      </c>
      <c r="D249" s="25">
        <v>12</v>
      </c>
      <c r="E249" s="18">
        <f>1000*20%</f>
        <v>200</v>
      </c>
      <c r="F249" s="48">
        <f>D249*E249</f>
        <v>2400</v>
      </c>
      <c r="G249" s="49">
        <f>F249*C4</f>
        <v>2400</v>
      </c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62"/>
      <c r="S249" s="225">
        <f>R249-F249</f>
        <v>-2400</v>
      </c>
      <c r="T249" s="231">
        <f>IF(F249=0,0,S249/F249)</f>
        <v>-1</v>
      </c>
      <c r="U249" s="225">
        <f>R249*$C$4</f>
        <v>0</v>
      </c>
      <c r="V249" s="225">
        <f>U249-G249</f>
        <v>-2400</v>
      </c>
      <c r="W249" s="231">
        <f>IF(G249=0,0,V249/G249)</f>
        <v>-1</v>
      </c>
      <c r="X249" s="231"/>
    </row>
    <row r="250" spans="1:24" x14ac:dyDescent="0.25">
      <c r="B250" s="137" t="s">
        <v>720</v>
      </c>
      <c r="C250" s="21" t="s">
        <v>392</v>
      </c>
      <c r="D250" s="25">
        <v>12</v>
      </c>
      <c r="E250" s="18">
        <v>50</v>
      </c>
      <c r="F250" s="48">
        <f>D250*E250</f>
        <v>600</v>
      </c>
      <c r="G250" s="49">
        <f>F250*C4</f>
        <v>600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>
        <f>R250-F250</f>
        <v>-600</v>
      </c>
      <c r="T250" s="231">
        <f>IF(F250=0,0,S250/F250)</f>
        <v>-1</v>
      </c>
      <c r="U250" s="225">
        <f>R250*$C$4</f>
        <v>0</v>
      </c>
      <c r="V250" s="225">
        <f>U250-G250</f>
        <v>-600</v>
      </c>
      <c r="W250" s="231">
        <f>IF(G250=0,0,V250/G250)</f>
        <v>-1</v>
      </c>
      <c r="X250" s="231"/>
    </row>
    <row r="251" spans="1:24" x14ac:dyDescent="0.25">
      <c r="B251" s="137" t="s">
        <v>38</v>
      </c>
      <c r="C251" s="21" t="s">
        <v>392</v>
      </c>
      <c r="D251" s="25">
        <v>12</v>
      </c>
      <c r="E251" s="18">
        <v>50</v>
      </c>
      <c r="F251" s="48">
        <f>D251*E251</f>
        <v>600</v>
      </c>
      <c r="G251" s="49">
        <f>F251*C4</f>
        <v>600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>
        <f>R251-F251</f>
        <v>-600</v>
      </c>
      <c r="T251" s="231">
        <f>IF(F251=0,0,S251/F251)</f>
        <v>-1</v>
      </c>
      <c r="U251" s="225">
        <f>R251*$C$4</f>
        <v>0</v>
      </c>
      <c r="V251" s="225">
        <f>U251-G251</f>
        <v>-600</v>
      </c>
      <c r="W251" s="231">
        <f>IF(G251=0,0,V251/G251)</f>
        <v>-1</v>
      </c>
      <c r="X251" s="231"/>
    </row>
    <row r="252" spans="1:24" x14ac:dyDescent="0.25">
      <c r="B252" s="182" t="s">
        <v>39</v>
      </c>
      <c r="C252" s="6"/>
      <c r="D252" s="7"/>
      <c r="E252" s="8"/>
      <c r="F252" s="48"/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57"/>
      <c r="S252" s="225"/>
      <c r="T252" s="231"/>
      <c r="U252" s="225"/>
      <c r="V252" s="225"/>
      <c r="W252" s="231"/>
      <c r="X252" s="231"/>
    </row>
    <row r="253" spans="1:24" x14ac:dyDescent="0.25">
      <c r="B253" s="137" t="s">
        <v>40</v>
      </c>
      <c r="C253" s="21" t="s">
        <v>392</v>
      </c>
      <c r="D253" s="25">
        <v>12</v>
      </c>
      <c r="E253" s="18">
        <v>100</v>
      </c>
      <c r="F253" s="48">
        <f>D253*E253</f>
        <v>1200</v>
      </c>
      <c r="G253" s="49">
        <f>F253*C4</f>
        <v>1200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>
        <f>R253-F253</f>
        <v>-1200</v>
      </c>
      <c r="T253" s="231">
        <f>IF(F253=0,0,S253/F253)</f>
        <v>-1</v>
      </c>
      <c r="U253" s="225">
        <f>R253*$C$4</f>
        <v>0</v>
      </c>
      <c r="V253" s="225">
        <f>U253-G253</f>
        <v>-1200</v>
      </c>
      <c r="W253" s="231">
        <f>IF(G253=0,0,V253/G253)</f>
        <v>-1</v>
      </c>
      <c r="X253" s="231"/>
    </row>
    <row r="254" spans="1:24" x14ac:dyDescent="0.25">
      <c r="B254" s="182" t="s">
        <v>41</v>
      </c>
      <c r="C254" s="5"/>
      <c r="D254" s="5"/>
      <c r="E254" s="5"/>
      <c r="F254" s="168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4" x14ac:dyDescent="0.25">
      <c r="B255" s="137" t="s">
        <v>751</v>
      </c>
      <c r="C255" s="21" t="s">
        <v>436</v>
      </c>
      <c r="D255" s="25">
        <v>1</v>
      </c>
      <c r="E255" s="18">
        <v>1000</v>
      </c>
      <c r="F255" s="48">
        <f>D255*E255</f>
        <v>1000</v>
      </c>
      <c r="G255" s="49">
        <f>F255*C4</f>
        <v>1000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>
        <f>R255-F255</f>
        <v>-1000</v>
      </c>
      <c r="T255" s="231">
        <f>IF(F255=0,0,S255/F255)</f>
        <v>-1</v>
      </c>
      <c r="U255" s="225">
        <f>R255*$C$4</f>
        <v>0</v>
      </c>
      <c r="V255" s="225">
        <f>U255-G255</f>
        <v>-1000</v>
      </c>
      <c r="W255" s="231">
        <f>IF(G255=0,0,V255/G255)</f>
        <v>-1</v>
      </c>
      <c r="X255" s="231"/>
    </row>
    <row r="256" spans="1:24" x14ac:dyDescent="0.25">
      <c r="B256" s="149"/>
      <c r="C256" s="6"/>
      <c r="D256" s="7"/>
      <c r="E256" s="8"/>
      <c r="F256" s="48"/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57"/>
      <c r="S256" s="225"/>
      <c r="T256" s="231"/>
      <c r="U256" s="225"/>
      <c r="V256" s="225"/>
      <c r="W256" s="231"/>
      <c r="X256" s="231"/>
    </row>
    <row r="257" spans="1:25" x14ac:dyDescent="0.25">
      <c r="A257" s="177"/>
      <c r="B257" s="177" t="s">
        <v>58</v>
      </c>
      <c r="C257" s="179"/>
      <c r="D257" s="178"/>
      <c r="E257" s="180"/>
      <c r="F257" s="263">
        <f>SUM(F242:F255)</f>
        <v>42872.5</v>
      </c>
      <c r="G257" s="319">
        <f>SUM(G242:G255)</f>
        <v>42872.5</v>
      </c>
      <c r="H257" s="246"/>
      <c r="I257" s="246"/>
      <c r="J257" s="246"/>
      <c r="K257" s="246"/>
      <c r="L257" s="246"/>
      <c r="M257" s="246"/>
      <c r="N257" s="246"/>
      <c r="O257" s="246"/>
      <c r="P257" s="246"/>
      <c r="Q257" s="255"/>
      <c r="R257" s="265"/>
      <c r="S257" s="226">
        <f>R257-F257</f>
        <v>-42872.5</v>
      </c>
      <c r="T257" s="236">
        <f>IF(F257=0,0,S257/F257)</f>
        <v>-1</v>
      </c>
      <c r="U257" s="226">
        <f>R257*$C$4</f>
        <v>0</v>
      </c>
      <c r="V257" s="226">
        <f>U257-G257</f>
        <v>-42872.5</v>
      </c>
      <c r="W257" s="236">
        <f>IF(G257=0,0,V257/G257)</f>
        <v>-1</v>
      </c>
      <c r="X257" s="236"/>
    </row>
    <row r="258" spans="1:25" x14ac:dyDescent="0.25">
      <c r="A258" s="146"/>
      <c r="B258" s="146"/>
      <c r="C258" s="118"/>
      <c r="D258" s="122"/>
      <c r="E258" s="123"/>
      <c r="F258" s="55">
        <f ca="1">(F257/F260)</f>
        <v>7.3224912866879807E-2</v>
      </c>
      <c r="G258" s="55">
        <f ca="1">(G257/G260)</f>
        <v>7.3224912866879807E-2</v>
      </c>
      <c r="H258" s="247"/>
      <c r="I258" s="248"/>
      <c r="J258" s="248"/>
      <c r="K258" s="248"/>
      <c r="L258" s="248"/>
      <c r="M258" s="248"/>
      <c r="N258" s="248"/>
      <c r="O258" s="248"/>
      <c r="P258" s="248"/>
      <c r="Q258" s="248"/>
      <c r="R258" s="228"/>
      <c r="S258" s="228"/>
      <c r="T258" s="228"/>
      <c r="U258" s="228"/>
      <c r="V258" s="228"/>
      <c r="W258" s="228"/>
      <c r="X258" s="228"/>
      <c r="Y258" s="53"/>
    </row>
    <row r="259" spans="1:25" x14ac:dyDescent="0.25">
      <c r="A259" s="146"/>
      <c r="B259" s="146"/>
      <c r="C259" s="118"/>
      <c r="D259" s="122"/>
      <c r="E259" s="123"/>
      <c r="F259" s="228"/>
      <c r="G259" s="228"/>
      <c r="H259" s="247"/>
      <c r="I259" s="248"/>
      <c r="J259" s="248"/>
      <c r="K259" s="248"/>
      <c r="L259" s="248"/>
      <c r="M259" s="248"/>
      <c r="N259" s="248"/>
      <c r="O259" s="248"/>
      <c r="P259" s="248"/>
      <c r="Q259" s="248"/>
      <c r="R259" s="228"/>
      <c r="S259" s="228"/>
      <c r="T259" s="228"/>
      <c r="U259" s="228"/>
      <c r="V259" s="228"/>
      <c r="W259" s="228"/>
      <c r="X259" s="228"/>
      <c r="Y259" s="53"/>
    </row>
    <row r="260" spans="1:25" ht="13.8" thickBot="1" x14ac:dyDescent="0.3">
      <c r="A260" s="275"/>
      <c r="B260" s="275" t="s">
        <v>318</v>
      </c>
      <c r="C260" s="276"/>
      <c r="D260" s="277"/>
      <c r="E260" s="274"/>
      <c r="F260" s="279">
        <f ca="1">SUM(F238+F257)</f>
        <v>585490.625</v>
      </c>
      <c r="G260" s="279">
        <f ca="1">G238+G257</f>
        <v>585490.625</v>
      </c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175"/>
      <c r="S260" s="175"/>
      <c r="T260" s="175"/>
      <c r="U260" s="175"/>
      <c r="V260" s="175"/>
      <c r="W260" s="175"/>
      <c r="X260" s="175"/>
    </row>
    <row r="261" spans="1:25" ht="13.8" thickTop="1" x14ac:dyDescent="0.25">
      <c r="F261" s="4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"/>
      <c r="S261" s="1"/>
      <c r="T261" s="1"/>
      <c r="U261" s="1"/>
      <c r="V261" s="1"/>
      <c r="W261" s="1"/>
      <c r="X261" s="1"/>
    </row>
    <row r="262" spans="1:25" ht="13.8" thickBot="1" x14ac:dyDescent="0.3">
      <c r="A262" s="184" t="s">
        <v>24</v>
      </c>
      <c r="B262" s="185"/>
      <c r="C262" s="186"/>
      <c r="D262" s="187"/>
      <c r="E262" s="188"/>
      <c r="F262" s="56">
        <f ca="1">SUM(F260-F73)</f>
        <v>585490.625</v>
      </c>
      <c r="G262" s="56">
        <f ca="1">SUM(G260-G73)</f>
        <v>585490.625</v>
      </c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229"/>
      <c r="S262" s="229"/>
      <c r="T262" s="229"/>
      <c r="U262" s="229"/>
      <c r="V262" s="229"/>
      <c r="W262" s="229"/>
      <c r="X262" s="229"/>
    </row>
    <row r="263" spans="1:25" ht="13.8" thickTop="1" x14ac:dyDescent="0.25">
      <c r="F263" s="74"/>
    </row>
    <row r="264" spans="1:25" x14ac:dyDescent="0.25">
      <c r="F264" s="74"/>
    </row>
    <row r="265" spans="1:25" x14ac:dyDescent="0.25">
      <c r="A265" s="70" t="s">
        <v>15</v>
      </c>
      <c r="F265" s="74"/>
    </row>
    <row r="266" spans="1:25" x14ac:dyDescent="0.25">
      <c r="F266" s="74"/>
    </row>
    <row r="267" spans="1:25" ht="15" x14ac:dyDescent="0.4">
      <c r="B267" s="190" t="s">
        <v>16</v>
      </c>
      <c r="D267" s="191" t="s">
        <v>26</v>
      </c>
      <c r="F267" s="393" t="s">
        <v>17</v>
      </c>
      <c r="G267" s="394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</row>
    <row r="268" spans="1:25" ht="15" x14ac:dyDescent="0.4">
      <c r="B268" s="49" t="s">
        <v>828</v>
      </c>
      <c r="D268" s="191">
        <v>550</v>
      </c>
      <c r="F268" s="74" t="s">
        <v>833</v>
      </c>
    </row>
    <row r="269" spans="1:25" x14ac:dyDescent="0.25">
      <c r="B269" s="49" t="s">
        <v>829</v>
      </c>
      <c r="D269" s="72">
        <v>550</v>
      </c>
      <c r="F269" s="74" t="s">
        <v>833</v>
      </c>
    </row>
    <row r="270" spans="1:25" ht="26.4" x14ac:dyDescent="0.25">
      <c r="B270" s="137" t="s">
        <v>830</v>
      </c>
      <c r="D270" s="72">
        <v>1000</v>
      </c>
      <c r="F270" s="74" t="s">
        <v>833</v>
      </c>
    </row>
    <row r="271" spans="1:25" x14ac:dyDescent="0.25">
      <c r="F271" s="74"/>
    </row>
    <row r="272" spans="1:25" x14ac:dyDescent="0.25">
      <c r="F272" s="74"/>
    </row>
    <row r="273" spans="6:6" x14ac:dyDescent="0.25">
      <c r="F273" s="74"/>
    </row>
    <row r="274" spans="6:6" x14ac:dyDescent="0.25">
      <c r="F274" s="74"/>
    </row>
    <row r="275" spans="6:6" x14ac:dyDescent="0.25">
      <c r="F275" s="74"/>
    </row>
    <row r="276" spans="6:6" x14ac:dyDescent="0.25">
      <c r="F276" s="74"/>
    </row>
    <row r="277" spans="6:6" x14ac:dyDescent="0.25">
      <c r="F277" s="74"/>
    </row>
    <row r="278" spans="6:6" x14ac:dyDescent="0.25">
      <c r="F278" s="74"/>
    </row>
    <row r="279" spans="6:6" x14ac:dyDescent="0.25">
      <c r="F279" s="74"/>
    </row>
    <row r="280" spans="6:6" x14ac:dyDescent="0.25">
      <c r="F280" s="74"/>
    </row>
    <row r="281" spans="6:6" x14ac:dyDescent="0.25">
      <c r="F281" s="74"/>
    </row>
    <row r="282" spans="6:6" x14ac:dyDescent="0.25">
      <c r="F282" s="74"/>
    </row>
    <row r="283" spans="6:6" x14ac:dyDescent="0.25">
      <c r="F283" s="74"/>
    </row>
    <row r="284" spans="6:6" x14ac:dyDescent="0.25">
      <c r="F284" s="74"/>
    </row>
    <row r="285" spans="6:6" x14ac:dyDescent="0.25">
      <c r="F285" s="74"/>
    </row>
    <row r="286" spans="6:6" x14ac:dyDescent="0.25">
      <c r="F286" s="74"/>
    </row>
    <row r="287" spans="6:6" x14ac:dyDescent="0.25">
      <c r="F287" s="74"/>
    </row>
    <row r="288" spans="6:6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</sheetData>
  <mergeCells count="3">
    <mergeCell ref="A1:G1"/>
    <mergeCell ref="H76:Q76"/>
    <mergeCell ref="F267:G267"/>
  </mergeCells>
  <conditionalFormatting sqref="F258:X259">
    <cfRule type="cellIs" dxfId="0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5" zoomScaleNormal="75" workbookViewId="0">
      <selection activeCell="A12" sqref="A12"/>
    </sheetView>
  </sheetViews>
  <sheetFormatPr defaultColWidth="9.109375" defaultRowHeight="13.2" x14ac:dyDescent="0.25"/>
  <cols>
    <col min="1" max="1" width="59.33203125" style="62" customWidth="1"/>
    <col min="2" max="12" width="18" style="62" customWidth="1"/>
    <col min="13" max="16384" width="9.109375" style="62"/>
  </cols>
  <sheetData>
    <row r="1" spans="1:11" ht="27" customHeight="1" thickBot="1" x14ac:dyDescent="0.3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7" customHeight="1" thickBot="1" x14ac:dyDescent="0.3">
      <c r="A2" s="399" t="s">
        <v>191</v>
      </c>
      <c r="B2" s="400"/>
      <c r="C2" s="400"/>
      <c r="D2" s="400"/>
      <c r="E2" s="400"/>
      <c r="F2" s="401"/>
      <c r="G2" s="401"/>
      <c r="H2" s="401"/>
      <c r="I2" s="401"/>
      <c r="J2" s="401"/>
      <c r="K2" s="402"/>
    </row>
    <row r="3" spans="1:11" ht="27" customHeight="1" thickBot="1" x14ac:dyDescent="0.3">
      <c r="A3" s="216" t="s">
        <v>190</v>
      </c>
      <c r="B3" s="270" t="s">
        <v>758</v>
      </c>
      <c r="C3" s="271" t="s">
        <v>759</v>
      </c>
      <c r="D3" s="271" t="s">
        <v>760</v>
      </c>
      <c r="E3" s="271" t="s">
        <v>761</v>
      </c>
      <c r="F3" s="272" t="s">
        <v>762</v>
      </c>
      <c r="G3" s="273" t="s">
        <v>763</v>
      </c>
      <c r="H3" s="273" t="s">
        <v>764</v>
      </c>
      <c r="I3" s="273" t="s">
        <v>765</v>
      </c>
      <c r="J3" s="273" t="s">
        <v>766</v>
      </c>
      <c r="K3" s="272" t="s">
        <v>767</v>
      </c>
    </row>
    <row r="4" spans="1:11" ht="27" customHeight="1" x14ac:dyDescent="0.25">
      <c r="A4" s="347" t="s">
        <v>66</v>
      </c>
      <c r="B4" s="348">
        <f>'DSPR Jordan'!G103/Consolidated!J101</f>
        <v>0.12333405390820525</v>
      </c>
      <c r="C4" s="349">
        <f>'DSPR Lebanon'!G103/Consolidated!J101</f>
        <v>7.3052374857878702E-2</v>
      </c>
      <c r="D4" s="350">
        <f>'FCA Jordan'!G103/Consolidated!J101</f>
        <v>0</v>
      </c>
      <c r="E4" s="349">
        <f>'FCA Syria'!G103/Consolidated!J101</f>
        <v>6.6288266074741753E-2</v>
      </c>
      <c r="F4" s="349">
        <f>'IOCC Jordan'!G106/Consolidated!J101</f>
        <v>8.9365376010169972E-2</v>
      </c>
      <c r="G4" s="350">
        <f>'IOCC Lebanon'!G103/Consolidated!J101</f>
        <v>0</v>
      </c>
      <c r="H4" s="351">
        <f>'IOCC Syria'!G103/Consolidated!J101</f>
        <v>0.64795992914900435</v>
      </c>
      <c r="I4" s="352">
        <f>'LWF Jordan'!G106/Consolidated!J101</f>
        <v>0</v>
      </c>
      <c r="J4" s="352">
        <f>'MECC Lebanon'!G103/Consolidated!J101</f>
        <v>0</v>
      </c>
      <c r="K4" s="353">
        <f>'MECC Syria'!G106/Consolidated!J101</f>
        <v>0</v>
      </c>
    </row>
    <row r="5" spans="1:11" ht="27" customHeight="1" x14ac:dyDescent="0.25">
      <c r="A5" s="66" t="s">
        <v>55</v>
      </c>
      <c r="B5" s="331">
        <f>'DSPR Jordan'!G108/Consolidated!J102</f>
        <v>0.40144677245918731</v>
      </c>
      <c r="C5" s="332">
        <f>'DSPR Lebanon'!G109/Consolidated!J102</f>
        <v>6.5169930594023942E-2</v>
      </c>
      <c r="D5" s="325">
        <f>'FCA Jordan'!G109/Consolidated!J102</f>
        <v>0</v>
      </c>
      <c r="E5" s="325">
        <f>'FCA Syria'!G109/Consolidated!J102</f>
        <v>0</v>
      </c>
      <c r="F5" s="332">
        <f>'IOCC Jordan'!G112/Consolidated!J102</f>
        <v>0.12462527289908436</v>
      </c>
      <c r="G5" s="332">
        <f>'IOCC Lebanon'!G109/Consolidated!J102</f>
        <v>0.13033986118804788</v>
      </c>
      <c r="H5" s="333">
        <f>'IOCC Syria'!G109/Consolidated!J102</f>
        <v>0.27841816285965654</v>
      </c>
      <c r="I5" s="327">
        <f>'LWF Jordan'!G112/Consolidated!J102</f>
        <v>0</v>
      </c>
      <c r="J5" s="327">
        <f>'MECC Lebanon'!G109/Consolidated!J102</f>
        <v>0</v>
      </c>
      <c r="K5" s="326">
        <f>'MECC Syria'!G112/Consolidated!J102</f>
        <v>0</v>
      </c>
    </row>
    <row r="6" spans="1:11" ht="27" customHeight="1" x14ac:dyDescent="0.25">
      <c r="A6" s="66" t="s">
        <v>67</v>
      </c>
      <c r="B6" s="324">
        <f>'DSPR Jordan'!G114/Consolidated!J103</f>
        <v>0</v>
      </c>
      <c r="C6" s="332">
        <f>'DSPR Lebanon'!G115/Consolidated!J103</f>
        <v>0.18892988929889301</v>
      </c>
      <c r="D6" s="325">
        <f>'FCA Jordan'!G115/Consolidated!J103</f>
        <v>0</v>
      </c>
      <c r="E6" s="325">
        <f>'FCA Syria'!G115/Consolidated!J103</f>
        <v>0</v>
      </c>
      <c r="F6" s="325">
        <f>'IOCC Jordan'!G118/Consolidated!J103</f>
        <v>0</v>
      </c>
      <c r="G6" s="332">
        <f>'IOCC Lebanon'!G116/Consolidated!J103</f>
        <v>0.47232472324723246</v>
      </c>
      <c r="H6" s="326">
        <f>'IOCC Syria'!G115/Consolidated!J103</f>
        <v>0</v>
      </c>
      <c r="I6" s="327">
        <f>'LWF Jordan'!G118/Consolidated!J103</f>
        <v>0</v>
      </c>
      <c r="J6" s="327">
        <f>'MECC Lebanon'!G115/Consolidated!J103</f>
        <v>0</v>
      </c>
      <c r="K6" s="333">
        <f>'MECC Syria'!G118/Consolidated!J103</f>
        <v>0.33874538745387445</v>
      </c>
    </row>
    <row r="7" spans="1:11" ht="27" customHeight="1" x14ac:dyDescent="0.25">
      <c r="A7" s="66" t="s">
        <v>68</v>
      </c>
      <c r="B7" s="331">
        <f>'DSPR Jordan'!G120/Consolidated!J104</f>
        <v>0.18265504855481202</v>
      </c>
      <c r="C7" s="325">
        <f>'DSPR Lebanon'!G121/Consolidated!J104</f>
        <v>0</v>
      </c>
      <c r="D7" s="325">
        <f>'FCA Jordan'!G121/Consolidated!J104</f>
        <v>0</v>
      </c>
      <c r="E7" s="325">
        <f>'FCA Syria'!G121/Consolidated!J104</f>
        <v>0</v>
      </c>
      <c r="F7" s="332">
        <f>'IOCC Jordan'!G124/Consolidated!J104</f>
        <v>6.770212077714656E-2</v>
      </c>
      <c r="G7" s="332">
        <f>'IOCC Lebanon'!G122/Consolidated!J104</f>
        <v>6.7390439992182735E-2</v>
      </c>
      <c r="H7" s="333">
        <f>'IOCC Syria'!G121/Consolidated!J104</f>
        <v>0.4990346319471119</v>
      </c>
      <c r="I7" s="327">
        <f>'LWF Jordan'!G124/Consolidated!J104</f>
        <v>0</v>
      </c>
      <c r="J7" s="334">
        <f>'MECC Lebanon'!G121/Consolidated!J104</f>
        <v>6.1914966742817865E-2</v>
      </c>
      <c r="K7" s="333">
        <f>'MECC Syria'!G124/Consolidated!J104</f>
        <v>0.12130279198592887</v>
      </c>
    </row>
    <row r="8" spans="1:11" ht="27" customHeight="1" x14ac:dyDescent="0.25">
      <c r="A8" s="66" t="s">
        <v>69</v>
      </c>
      <c r="B8" s="331">
        <f>'DSPR Jordan'!G126/Consolidated!J105</f>
        <v>0.10006144230681886</v>
      </c>
      <c r="C8" s="332">
        <f>'DSPR Lebanon'!G127/Consolidated!J105</f>
        <v>4.8223605007852048E-2</v>
      </c>
      <c r="D8" s="332">
        <f>'FCA Jordan'!G127/Consolidated!J105</f>
        <v>7.8201732918449021E-2</v>
      </c>
      <c r="E8" s="332">
        <f>'FCA Syria'!G127/Consolidated!J105</f>
        <v>1.1675188580848386E-2</v>
      </c>
      <c r="F8" s="332">
        <f>'IOCC Jordan'!G130/Consolidated!J105</f>
        <v>0.40661895010342364</v>
      </c>
      <c r="G8" s="325">
        <f>'IOCC Lebanon'!G128/Consolidated!J105</f>
        <v>0</v>
      </c>
      <c r="H8" s="326">
        <f>'IOCC Syria'!G127/Consolidated!J105</f>
        <v>0</v>
      </c>
      <c r="I8" s="334">
        <f>'LWF Jordan'!G130/Consolidated!J105</f>
        <v>0.29430505370426857</v>
      </c>
      <c r="J8" s="334">
        <f>'MECC Lebanon'!G127/Consolidated!J105</f>
        <v>4.4416478296705815E-2</v>
      </c>
      <c r="K8" s="333">
        <f>'MECC Syria'!G130/Consolidated!J105</f>
        <v>1.6497549081633589E-2</v>
      </c>
    </row>
    <row r="9" spans="1:11" ht="27" customHeight="1" x14ac:dyDescent="0.25">
      <c r="A9" s="66" t="s">
        <v>54</v>
      </c>
      <c r="B9" s="331">
        <f>'DSPR Jordan'!G132/Consolidated!J106</f>
        <v>0.36547548084792936</v>
      </c>
      <c r="C9" s="325">
        <f>'DSPR Lebanon'!G133/Consolidated!J106</f>
        <v>0</v>
      </c>
      <c r="D9" s="332">
        <f>'FCA Jordan'!G131/Consolidated!J106</f>
        <v>0.17357299129954762</v>
      </c>
      <c r="E9" s="325">
        <f>'FCA Syria'!G133/Consolidated!J106</f>
        <v>0</v>
      </c>
      <c r="F9" s="325">
        <f>'IOCC Jordan'!G139/Consolidated!J106</f>
        <v>0</v>
      </c>
      <c r="G9" s="332">
        <f>'IOCC Lebanon'!G134/Consolidated!J106</f>
        <v>4.4406475937154466E-2</v>
      </c>
      <c r="H9" s="333">
        <f>'IOCC Syria'!G133/Consolidated!J106</f>
        <v>0.16188824867649024</v>
      </c>
      <c r="I9" s="334">
        <f>'LWF Jordan'!G147/Consolidated!J106</f>
        <v>6.0285957522291961E-2</v>
      </c>
      <c r="J9" s="334">
        <f>'MECC Lebanon'!G133/Consolidated!J106</f>
        <v>3.8115558512724232E-2</v>
      </c>
      <c r="K9" s="333">
        <f>'MECC Syria'!G136/Consolidated!J106</f>
        <v>0.1562552872038622</v>
      </c>
    </row>
    <row r="10" spans="1:11" ht="27" customHeight="1" x14ac:dyDescent="0.25">
      <c r="A10" s="66" t="s">
        <v>53</v>
      </c>
      <c r="B10" s="331">
        <f>'DSPR Jordan'!G143/Consolidated!J107</f>
        <v>0.10426268236983537</v>
      </c>
      <c r="C10" s="332">
        <f>'DSPR Lebanon'!G139/Consolidated!J107</f>
        <v>0.13036879979214666</v>
      </c>
      <c r="D10" s="332">
        <f>'FCA Jordan'!G152/Consolidated!J107</f>
        <v>3.8128648690012944E-2</v>
      </c>
      <c r="E10" s="332">
        <f>'FCA Syria'!G139/Consolidated!J107</f>
        <v>7.258761428870214E-2</v>
      </c>
      <c r="F10" s="325">
        <f>'IOCC Jordan'!G145/Consolidated!J107</f>
        <v>0</v>
      </c>
      <c r="G10" s="332">
        <f>'IOCC Lebanon'!G140/Consolidated!J107</f>
        <v>3.250191684568754E-2</v>
      </c>
      <c r="H10" s="333">
        <f>'IOCC Syria'!G139/Consolidated!J107</f>
        <v>0.31473637451482084</v>
      </c>
      <c r="I10" s="327">
        <f>'LWF Jordan'!G153/Consolidated!J107</f>
        <v>0</v>
      </c>
      <c r="J10" s="334">
        <f>'MECC Lebanon'!G139/Consolidated!J107</f>
        <v>0.25730684169502621</v>
      </c>
      <c r="K10" s="333">
        <f>'MECC Syria'!G142/Consolidated!J107</f>
        <v>5.0107121803768265E-2</v>
      </c>
    </row>
    <row r="11" spans="1:11" ht="27" customHeight="1" x14ac:dyDescent="0.25">
      <c r="A11" s="66" t="s">
        <v>70</v>
      </c>
      <c r="B11" s="331">
        <f>'DSPR Jordan'!G152/Consolidated!J108</f>
        <v>1</v>
      </c>
      <c r="C11" s="325">
        <f>'DSPR Lebanon'!G145/Consolidated!J108</f>
        <v>0</v>
      </c>
      <c r="D11" s="325">
        <f>'FCA Jordan'!G158/Consolidated!J108</f>
        <v>0</v>
      </c>
      <c r="E11" s="325">
        <f>'FCA Syria'!G153/Consolidated!J108</f>
        <v>0</v>
      </c>
      <c r="F11" s="325">
        <f>'IOCC Jordan'!G151/Consolidated!J108</f>
        <v>0</v>
      </c>
      <c r="G11" s="325">
        <f>'IOCC Lebanon'!G146/Consolidated!J108</f>
        <v>0</v>
      </c>
      <c r="H11" s="326">
        <f>'IOCC Syria'!G145/Consolidated!J108</f>
        <v>0</v>
      </c>
      <c r="I11" s="327">
        <f>'LWF Jordan'!G159/Consolidated!J108</f>
        <v>0</v>
      </c>
      <c r="J11" s="327">
        <f>'MECC Lebanon'!G145/Consolidated!J108</f>
        <v>0</v>
      </c>
      <c r="K11" s="326">
        <f>'MECC Syria'!G148/Consolidated!J108</f>
        <v>0</v>
      </c>
    </row>
    <row r="12" spans="1:11" ht="27" customHeight="1" thickBot="1" x14ac:dyDescent="0.3">
      <c r="A12" s="354" t="s">
        <v>295</v>
      </c>
      <c r="B12" s="355">
        <f>'DSPR Jordan'!G158/Consolidated!J109</f>
        <v>0</v>
      </c>
      <c r="C12" s="328">
        <f>'DSPR Lebanon'!G151/Consolidated!J109</f>
        <v>0</v>
      </c>
      <c r="D12" s="328">
        <f>'FCA Jordan'!G164/Consolidated!J109</f>
        <v>0</v>
      </c>
      <c r="E12" s="328">
        <f>'FCA Syria'!G159/Consolidated!J109</f>
        <v>0</v>
      </c>
      <c r="F12" s="328">
        <f>'IOCC Jordan'!G157/Consolidated!J109</f>
        <v>0</v>
      </c>
      <c r="G12" s="328">
        <f>'IOCC Lebanon'!G152/Consolidated!J109</f>
        <v>0</v>
      </c>
      <c r="H12" s="329">
        <f>'IOCC Syria'!G151/Consolidated!J109</f>
        <v>0</v>
      </c>
      <c r="I12" s="356">
        <f>'LWF Jordan'!G165/Consolidated!J109</f>
        <v>1</v>
      </c>
      <c r="J12" s="330">
        <f>'MECC Lebanon'!G151/Consolidated!J109</f>
        <v>0</v>
      </c>
      <c r="K12" s="329">
        <f>'MECC Syria'!G154/Consolidated!J109</f>
        <v>0</v>
      </c>
    </row>
    <row r="13" spans="1:11" ht="27" hidden="1" customHeight="1" thickBot="1" x14ac:dyDescent="0.3">
      <c r="A13" s="345" t="s">
        <v>317</v>
      </c>
      <c r="B13" s="346" t="e">
        <f>'DSPR Jordan'!G164/Consolidated!J110</f>
        <v>#DIV/0!</v>
      </c>
      <c r="C13" s="321" t="e">
        <f>'DSPR Lebanon'!G157/Consolidated!J110</f>
        <v>#DIV/0!</v>
      </c>
      <c r="D13" s="321" t="e">
        <f>'FCA Jordan'!G170/Consolidated!J110</f>
        <v>#DIV/0!</v>
      </c>
      <c r="E13" s="321" t="e">
        <f>'FCA Syria'!G165/Consolidated!J110</f>
        <v>#DIV/0!</v>
      </c>
      <c r="F13" s="321" t="e">
        <f>'IOCC Jordan'!G163/Consolidated!J110</f>
        <v>#DIV/0!</v>
      </c>
      <c r="G13" s="321" t="e">
        <f>'IOCC Lebanon'!G158/Consolidated!J110</f>
        <v>#DIV/0!</v>
      </c>
      <c r="H13" s="322" t="e">
        <f>'IOCC Syria'!G157/Consolidated!J110</f>
        <v>#DIV/0!</v>
      </c>
      <c r="I13" s="323" t="e">
        <f>'LWF Jordan'!G171/Consolidated!J110</f>
        <v>#DIV/0!</v>
      </c>
      <c r="J13" s="323" t="e">
        <f>'MECC Lebanon'!G157/Consolidated!J110</f>
        <v>#DIV/0!</v>
      </c>
      <c r="K13" s="322" t="e">
        <f>'MECC Syria'!G160/Consolidated!J110</f>
        <v>#DIV/0!</v>
      </c>
    </row>
    <row r="14" spans="1:11" ht="27" customHeight="1" thickBot="1" x14ac:dyDescent="0.3">
      <c r="A14" s="58"/>
    </row>
    <row r="15" spans="1:11" ht="40.5" customHeight="1" x14ac:dyDescent="0.25">
      <c r="A15" s="58"/>
      <c r="B15" s="395" t="s">
        <v>192</v>
      </c>
      <c r="C15" s="396"/>
      <c r="D15" s="396"/>
      <c r="E15" s="396"/>
      <c r="F15" s="397"/>
      <c r="G15" s="397"/>
      <c r="H15" s="397"/>
      <c r="I15" s="397"/>
      <c r="J15" s="397"/>
      <c r="K15" s="398"/>
    </row>
    <row r="16" spans="1:11" ht="27" customHeight="1" thickBot="1" x14ac:dyDescent="0.3">
      <c r="B16" s="63" t="s">
        <v>758</v>
      </c>
      <c r="C16" s="64" t="s">
        <v>759</v>
      </c>
      <c r="D16" s="64" t="s">
        <v>760</v>
      </c>
      <c r="E16" s="64" t="s">
        <v>761</v>
      </c>
      <c r="F16" s="65" t="s">
        <v>762</v>
      </c>
      <c r="G16" s="269" t="s">
        <v>763</v>
      </c>
      <c r="H16" s="269" t="s">
        <v>764</v>
      </c>
      <c r="I16" s="269" t="s">
        <v>765</v>
      </c>
      <c r="J16" s="269" t="s">
        <v>766</v>
      </c>
      <c r="K16" s="65" t="s">
        <v>767</v>
      </c>
    </row>
    <row r="17" spans="2:11" ht="27" customHeight="1" thickBot="1" x14ac:dyDescent="0.3">
      <c r="B17" s="320">
        <f ca="1">'DSPR Jordan'!G267/Consolidated!J196</f>
        <v>0.17681476187080858</v>
      </c>
      <c r="C17" s="321">
        <f ca="1">'DSPR Jordan'!G267/Consolidated!J196</f>
        <v>0.17681476187080858</v>
      </c>
      <c r="D17" s="321">
        <f ca="1">'FCA Jordan'!G276/Consolidated!J196</f>
        <v>7.0602025436144203E-2</v>
      </c>
      <c r="E17" s="321">
        <f ca="1">'FCA Syria'!G273/Consolidated!J196</f>
        <v>3.9134730188027426E-2</v>
      </c>
      <c r="F17" s="322">
        <f ca="1">'IOCC Jordan'!G270/Consolidated!J196</f>
        <v>8.9085462178689886E-2</v>
      </c>
      <c r="G17" s="323">
        <f ca="1">'IOCC Lebanon'!G268/Consolidated!J196</f>
        <v>5.2362081887289982E-2</v>
      </c>
      <c r="H17" s="322">
        <f ca="1">'IOCC Syria'!G255/Consolidated!J196</f>
        <v>0.2632077253788625</v>
      </c>
      <c r="I17" s="323">
        <f ca="1">'LWF Jordan'!G270/Consolidated!J196</f>
        <v>0.107375474667849</v>
      </c>
      <c r="J17" s="323">
        <f ca="1">'MECC Lebanon'!G258/Consolidated!J196</f>
        <v>8.4560903323929917E-2</v>
      </c>
      <c r="K17" s="322">
        <f ca="1">'MECC Syria'!G260/Consolidated!J196</f>
        <v>5.7953953392407151E-2</v>
      </c>
    </row>
  </sheetData>
  <mergeCells count="2">
    <mergeCell ref="B15:K15"/>
    <mergeCell ref="A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0"/>
  <sheetViews>
    <sheetView view="pageBreakPreview" zoomScaleNormal="100" zoomScaleSheetLayoutView="100" workbookViewId="0">
      <pane ySplit="14" topLeftCell="A227" activePane="bottomLeft" state="frozen"/>
      <selection pane="bottomLeft" activeCell="F275" sqref="F275"/>
    </sheetView>
  </sheetViews>
  <sheetFormatPr defaultColWidth="9.109375" defaultRowHeight="13.2" x14ac:dyDescent="0.25"/>
  <cols>
    <col min="1" max="1" width="6.66406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3.6640625" style="73" customWidth="1"/>
    <col min="6" max="6" width="12.88671875" style="73" customWidth="1"/>
    <col min="7" max="7" width="13.109375" style="49" customWidth="1"/>
    <col min="8" max="17" width="10.109375" style="49" hidden="1" customWidth="1"/>
    <col min="18" max="19" width="14.33203125" style="49" hidden="1" customWidth="1"/>
    <col min="20" max="23" width="10.109375" style="49" hidden="1" customWidth="1"/>
    <col min="24" max="24" width="3.886718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v>1.4079999999999999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758</v>
      </c>
    </row>
    <row r="8" spans="1:27" x14ac:dyDescent="0.25">
      <c r="A8" s="70" t="s">
        <v>63</v>
      </c>
      <c r="C8" s="79" t="s">
        <v>834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836</v>
      </c>
    </row>
    <row r="11" spans="1:27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Z11" s="84"/>
      <c r="AA11" s="84"/>
    </row>
    <row r="12" spans="1:27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4"/>
      <c r="Z12" s="84"/>
      <c r="AA12" s="84"/>
    </row>
    <row r="13" spans="1:27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4"/>
      <c r="Z13" s="84"/>
      <c r="AA13" s="84"/>
    </row>
    <row r="14" spans="1:27" s="89" customFormat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53"/>
      <c r="Z17" s="53"/>
    </row>
    <row r="18" spans="1:26" s="103" customFormat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53"/>
      <c r="Z18" s="53"/>
    </row>
    <row r="19" spans="1:26" s="103" customFormat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53"/>
      <c r="Z19" s="53"/>
    </row>
    <row r="20" spans="1:26" s="103" customFormat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3"/>
      <c r="Z20" s="53"/>
    </row>
    <row r="21" spans="1:26" s="103" customFormat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53"/>
      <c r="Z21" s="53"/>
    </row>
    <row r="22" spans="1:26" s="103" customFormat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3"/>
      <c r="Z22" s="53"/>
    </row>
    <row r="23" spans="1:26" s="103" customFormat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53"/>
      <c r="Z23" s="53"/>
    </row>
    <row r="24" spans="1:26" s="103" customFormat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53"/>
      <c r="Z24" s="53"/>
    </row>
    <row r="25" spans="1:26" s="103" customFormat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53"/>
      <c r="Z25" s="53"/>
    </row>
    <row r="26" spans="1:26" s="103" customFormat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53"/>
      <c r="Z26" s="53"/>
    </row>
    <row r="27" spans="1:26" s="103" customFormat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53"/>
      <c r="Z27" s="53"/>
    </row>
    <row r="28" spans="1:26" s="103" customFormat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3"/>
      <c r="Z28" s="53"/>
    </row>
    <row r="29" spans="1:26" s="103" customFormat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3"/>
      <c r="Z29" s="53"/>
    </row>
    <row r="30" spans="1:26" s="103" customFormat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53"/>
      <c r="Z30" s="53"/>
    </row>
    <row r="31" spans="1:26" s="103" customFormat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53"/>
      <c r="Z31" s="53"/>
    </row>
    <row r="32" spans="1:26" s="103" customFormat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3"/>
      <c r="Z32" s="53"/>
    </row>
    <row r="33" spans="1:26" s="103" customFormat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53"/>
      <c r="Z33" s="53"/>
    </row>
    <row r="34" spans="1:26" s="103" customFormat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53"/>
      <c r="Z34" s="53"/>
    </row>
    <row r="35" spans="1:26" s="103" customFormat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53"/>
      <c r="Z35" s="53"/>
    </row>
    <row r="36" spans="1:26" s="103" customFormat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53"/>
      <c r="Z36" s="53"/>
    </row>
    <row r="37" spans="1:26" s="103" customFormat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53"/>
      <c r="Z37" s="53"/>
    </row>
    <row r="38" spans="1:26" s="103" customFormat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53"/>
      <c r="Z38" s="53"/>
    </row>
    <row r="39" spans="1:26" s="103" customFormat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53"/>
      <c r="Z39" s="53"/>
    </row>
    <row r="40" spans="1:26" s="103" customFormat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53"/>
      <c r="Z40" s="53"/>
    </row>
    <row r="41" spans="1:26" s="103" customFormat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53"/>
      <c r="Z41" s="53"/>
    </row>
    <row r="42" spans="1:26" s="103" customFormat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3"/>
      <c r="Z42" s="53"/>
    </row>
    <row r="43" spans="1:26" s="103" customFormat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53"/>
      <c r="Z43" s="53"/>
    </row>
    <row r="44" spans="1:26" s="103" customFormat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53"/>
      <c r="Z44" s="53"/>
    </row>
    <row r="45" spans="1:26" s="103" customFormat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53"/>
      <c r="Z45" s="53"/>
    </row>
    <row r="46" spans="1:26" s="103" customFormat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53"/>
      <c r="Z46" s="53"/>
    </row>
    <row r="47" spans="1:26" s="103" customFormat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3"/>
      <c r="Z47" s="53"/>
    </row>
    <row r="48" spans="1:26" s="103" customFormat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53"/>
      <c r="Z48" s="53"/>
    </row>
    <row r="49" spans="1:26" s="103" customFormat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3"/>
      <c r="Z49" s="53"/>
    </row>
    <row r="50" spans="1:26" s="103" customFormat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53"/>
      <c r="Z50" s="53"/>
    </row>
    <row r="51" spans="1:26" s="103" customFormat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53"/>
      <c r="Z51" s="53"/>
    </row>
    <row r="52" spans="1:26" s="103" customFormat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3"/>
      <c r="Z52" s="53"/>
    </row>
    <row r="53" spans="1:26" s="103" customFormat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53"/>
      <c r="Z53" s="53"/>
    </row>
    <row r="54" spans="1:26" s="103" customFormat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53"/>
      <c r="Z54" s="53"/>
    </row>
    <row r="55" spans="1:26" s="103" customFormat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53"/>
      <c r="Z55" s="53"/>
    </row>
    <row r="56" spans="1:26" s="103" customFormat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53"/>
      <c r="Z56" s="53"/>
    </row>
    <row r="57" spans="1:26" s="103" customFormat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53"/>
      <c r="Z57" s="53"/>
    </row>
    <row r="58" spans="1:26" s="103" customFormat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53"/>
      <c r="Z58" s="53"/>
    </row>
    <row r="59" spans="1:26" s="103" customFormat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53"/>
      <c r="Z59" s="53"/>
    </row>
    <row r="60" spans="1:26" s="103" customFormat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53"/>
      <c r="Z60" s="53"/>
    </row>
    <row r="61" spans="1:26" s="103" customFormat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53"/>
      <c r="Z61" s="53"/>
    </row>
    <row r="62" spans="1:26" s="103" customFormat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53"/>
      <c r="Z62" s="53"/>
    </row>
    <row r="63" spans="1:26" s="103" customFormat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53"/>
      <c r="Z63" s="53"/>
    </row>
    <row r="64" spans="1:26" s="103" customFormat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53"/>
      <c r="Z64" s="53"/>
    </row>
    <row r="65" spans="1:26" s="103" customFormat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53"/>
      <c r="Z65" s="53"/>
    </row>
    <row r="66" spans="1:26" s="103" customFormat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53"/>
      <c r="Z66" s="53"/>
    </row>
    <row r="67" spans="1:26" s="103" customFormat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53"/>
      <c r="Z67" s="53"/>
    </row>
    <row r="68" spans="1:26" s="103" customFormat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53"/>
      <c r="Z68" s="53"/>
    </row>
    <row r="69" spans="1:26" s="103" customFormat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53"/>
      <c r="Z69" s="53"/>
    </row>
    <row r="70" spans="1:26" s="103" customFormat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53"/>
      <c r="Z70" s="53"/>
    </row>
    <row r="71" spans="1:26" s="103" customFormat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53"/>
      <c r="Z71" s="53"/>
    </row>
    <row r="72" spans="1:26" s="103" customFormat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x14ac:dyDescent="0.25">
      <c r="A83" s="206" t="s">
        <v>80</v>
      </c>
      <c r="B83" s="57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52" si="1">R83-F83</f>
        <v>0</v>
      </c>
      <c r="T83" s="231">
        <f t="shared" ref="T83:T152" si="2">IF(F83=0,0,S83/F83)</f>
        <v>0</v>
      </c>
      <c r="U83" s="225">
        <f t="shared" ref="U83:U152" si="3">R83*$C$4</f>
        <v>0</v>
      </c>
      <c r="V83" s="225">
        <f t="shared" ref="V83:V152" si="4">U83-G83</f>
        <v>0</v>
      </c>
      <c r="W83" s="231">
        <f t="shared" ref="W83:W152" si="5">IF(G83=0,0,V83/G83)</f>
        <v>0</v>
      </c>
      <c r="X83" s="231"/>
    </row>
    <row r="84" spans="1:24" x14ac:dyDescent="0.25">
      <c r="A84" s="207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x14ac:dyDescent="0.25">
      <c r="A85" s="207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x14ac:dyDescent="0.25">
      <c r="A86" s="207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x14ac:dyDescent="0.25">
      <c r="A87" s="207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x14ac:dyDescent="0.25">
      <c r="A88" s="207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204"/>
      <c r="B89" s="205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106" t="s">
        <v>319</v>
      </c>
      <c r="C91" s="21" t="s">
        <v>322</v>
      </c>
      <c r="D91" s="25">
        <v>12</v>
      </c>
      <c r="E91" s="18">
        <v>1000</v>
      </c>
      <c r="F91" s="48">
        <f t="shared" ref="F91:F96" si="6">D91*E91</f>
        <v>12000</v>
      </c>
      <c r="G91" s="49">
        <f>F91*C4</f>
        <v>16896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-12000</v>
      </c>
      <c r="T91" s="231">
        <f t="shared" si="2"/>
        <v>-1</v>
      </c>
      <c r="U91" s="225">
        <f t="shared" si="3"/>
        <v>0</v>
      </c>
      <c r="V91" s="225">
        <f t="shared" si="4"/>
        <v>-16896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320</v>
      </c>
      <c r="C92" s="21" t="s">
        <v>322</v>
      </c>
      <c r="D92" s="25">
        <v>12</v>
      </c>
      <c r="E92" s="18">
        <v>800</v>
      </c>
      <c r="F92" s="48">
        <f t="shared" si="6"/>
        <v>9600</v>
      </c>
      <c r="G92" s="49">
        <f>F92*C4</f>
        <v>13516.8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-9600</v>
      </c>
      <c r="T92" s="231">
        <f t="shared" si="2"/>
        <v>-1</v>
      </c>
      <c r="U92" s="225">
        <f t="shared" si="3"/>
        <v>0</v>
      </c>
      <c r="V92" s="225">
        <f t="shared" si="4"/>
        <v>-13516.8</v>
      </c>
      <c r="W92" s="231">
        <f t="shared" si="5"/>
        <v>-1</v>
      </c>
      <c r="X92" s="231"/>
    </row>
    <row r="93" spans="1:24" x14ac:dyDescent="0.25">
      <c r="A93" s="144" t="s">
        <v>89</v>
      </c>
      <c r="B93" s="106" t="s">
        <v>321</v>
      </c>
      <c r="C93" s="361" t="s">
        <v>322</v>
      </c>
      <c r="D93" s="25">
        <v>10</v>
      </c>
      <c r="E93" s="18">
        <v>2200</v>
      </c>
      <c r="F93" s="3">
        <f t="shared" si="6"/>
        <v>22000</v>
      </c>
      <c r="G93" s="49">
        <f>F93*C4</f>
        <v>30976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-22000</v>
      </c>
      <c r="T93" s="231">
        <f t="shared" si="2"/>
        <v>-1</v>
      </c>
      <c r="U93" s="225">
        <f t="shared" si="3"/>
        <v>0</v>
      </c>
      <c r="V93" s="225">
        <f t="shared" si="4"/>
        <v>-30976</v>
      </c>
      <c r="W93" s="231">
        <f t="shared" si="5"/>
        <v>-1</v>
      </c>
      <c r="X93" s="231"/>
    </row>
    <row r="94" spans="1:24" ht="26.4" x14ac:dyDescent="0.25">
      <c r="A94" s="144" t="s">
        <v>90</v>
      </c>
      <c r="B94" s="106" t="s">
        <v>781</v>
      </c>
      <c r="C94" s="21" t="s">
        <v>323</v>
      </c>
      <c r="D94" s="25">
        <v>120</v>
      </c>
      <c r="E94" s="18">
        <v>300</v>
      </c>
      <c r="F94" s="3">
        <f t="shared" si="6"/>
        <v>36000</v>
      </c>
      <c r="G94" s="49">
        <f>F94*C4</f>
        <v>50688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-36000</v>
      </c>
      <c r="T94" s="231">
        <f t="shared" si="2"/>
        <v>-1</v>
      </c>
      <c r="U94" s="225">
        <f t="shared" si="3"/>
        <v>0</v>
      </c>
      <c r="V94" s="225">
        <f t="shared" si="4"/>
        <v>-50688</v>
      </c>
      <c r="W94" s="231">
        <f t="shared" si="5"/>
        <v>-1</v>
      </c>
      <c r="X94" s="231"/>
    </row>
    <row r="95" spans="1:24" x14ac:dyDescent="0.25">
      <c r="A95" s="144" t="s">
        <v>91</v>
      </c>
      <c r="B95" s="57"/>
      <c r="C95" s="21"/>
      <c r="D95" s="25"/>
      <c r="E95" s="18"/>
      <c r="F95" s="48">
        <f t="shared" si="6"/>
        <v>0</v>
      </c>
      <c r="G95" s="49">
        <f>F95*C4</f>
        <v>0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0</v>
      </c>
      <c r="T95" s="231">
        <f t="shared" si="2"/>
        <v>0</v>
      </c>
      <c r="U95" s="225">
        <f t="shared" si="3"/>
        <v>0</v>
      </c>
      <c r="V95" s="225">
        <f t="shared" si="4"/>
        <v>0</v>
      </c>
      <c r="W95" s="231">
        <f t="shared" si="5"/>
        <v>0</v>
      </c>
      <c r="X95" s="231"/>
    </row>
    <row r="96" spans="1:24" x14ac:dyDescent="0.25">
      <c r="A96" s="144" t="s">
        <v>92</v>
      </c>
      <c r="B96" s="57"/>
      <c r="C96" s="21"/>
      <c r="D96" s="25"/>
      <c r="E96" s="18"/>
      <c r="F96" s="48">
        <f t="shared" si="6"/>
        <v>0</v>
      </c>
      <c r="G96" s="49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x14ac:dyDescent="0.25">
      <c r="A98" s="194"/>
      <c r="B98" s="195" t="s">
        <v>185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x14ac:dyDescent="0.25">
      <c r="A99" s="194"/>
      <c r="B99" s="195" t="s">
        <v>184</v>
      </c>
      <c r="C99" s="196"/>
      <c r="D99" s="197"/>
      <c r="E99" s="198"/>
      <c r="F99" s="199">
        <f>SUM(F91:F97)</f>
        <v>79600</v>
      </c>
      <c r="G99" s="194">
        <f>SUM(G91:G97)</f>
        <v>112076.8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-79600</v>
      </c>
      <c r="T99" s="231">
        <f t="shared" si="2"/>
        <v>-1</v>
      </c>
      <c r="U99" s="225">
        <f t="shared" si="3"/>
        <v>0</v>
      </c>
      <c r="V99" s="225">
        <f t="shared" si="4"/>
        <v>-112076.8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79600</v>
      </c>
      <c r="G100" s="50">
        <f>SUM(G81+G83+G84+G85+G86+G87+G88+G91+G92+G93+G94+G95+G96)</f>
        <v>112076.8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-79600</v>
      </c>
      <c r="T100" s="238">
        <f t="shared" si="2"/>
        <v>-1</v>
      </c>
      <c r="U100" s="237">
        <f t="shared" si="3"/>
        <v>0</v>
      </c>
      <c r="V100" s="237">
        <f t="shared" si="4"/>
        <v>-112076.8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x14ac:dyDescent="0.25">
      <c r="A103" s="220" t="s">
        <v>94</v>
      </c>
      <c r="B103" s="221" t="s">
        <v>66</v>
      </c>
      <c r="C103" s="217"/>
      <c r="D103" s="218"/>
      <c r="E103" s="219"/>
      <c r="F103" s="208">
        <f>SUM(F104:F107)</f>
        <v>129500</v>
      </c>
      <c r="G103" s="315">
        <f>SUM(G104:G107)</f>
        <v>182336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-129500</v>
      </c>
      <c r="T103" s="240">
        <f t="shared" si="2"/>
        <v>-1</v>
      </c>
      <c r="U103" s="239">
        <f t="shared" si="3"/>
        <v>0</v>
      </c>
      <c r="V103" s="239">
        <f t="shared" si="4"/>
        <v>-182336</v>
      </c>
      <c r="W103" s="240">
        <f t="shared" si="5"/>
        <v>-1</v>
      </c>
      <c r="X103" s="240"/>
    </row>
    <row r="104" spans="1:24" x14ac:dyDescent="0.25">
      <c r="A104" s="148" t="s">
        <v>195</v>
      </c>
      <c r="B104" s="106" t="s">
        <v>796</v>
      </c>
      <c r="C104" s="28" t="s">
        <v>326</v>
      </c>
      <c r="D104" s="29">
        <v>3500</v>
      </c>
      <c r="E104" s="30">
        <v>25</v>
      </c>
      <c r="F104" s="48">
        <f>D104*E104</f>
        <v>87500</v>
      </c>
      <c r="G104" s="295">
        <f>F104*C4</f>
        <v>123200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-87500</v>
      </c>
      <c r="T104" s="231">
        <f t="shared" si="2"/>
        <v>-1</v>
      </c>
      <c r="U104" s="225">
        <f t="shared" si="3"/>
        <v>0</v>
      </c>
      <c r="V104" s="225">
        <f t="shared" si="4"/>
        <v>-123200</v>
      </c>
      <c r="W104" s="231">
        <f t="shared" si="5"/>
        <v>-1</v>
      </c>
      <c r="X104" s="231"/>
    </row>
    <row r="105" spans="1:24" x14ac:dyDescent="0.25">
      <c r="A105" s="148" t="s">
        <v>196</v>
      </c>
      <c r="B105" s="106" t="s">
        <v>325</v>
      </c>
      <c r="C105" s="28" t="s">
        <v>326</v>
      </c>
      <c r="D105" s="29">
        <v>3500</v>
      </c>
      <c r="E105" s="30">
        <v>12</v>
      </c>
      <c r="F105" s="48">
        <f>D105*E105</f>
        <v>42000</v>
      </c>
      <c r="G105" s="295">
        <f>F105*C4</f>
        <v>59136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-42000</v>
      </c>
      <c r="T105" s="231">
        <f t="shared" si="2"/>
        <v>-1</v>
      </c>
      <c r="U105" s="225">
        <f t="shared" si="3"/>
        <v>0</v>
      </c>
      <c r="V105" s="225">
        <f t="shared" si="4"/>
        <v>-59136</v>
      </c>
      <c r="W105" s="231">
        <f t="shared" si="5"/>
        <v>-1</v>
      </c>
      <c r="X105" s="231"/>
    </row>
    <row r="106" spans="1:24" x14ac:dyDescent="0.25">
      <c r="A106" s="148" t="s">
        <v>198</v>
      </c>
      <c r="B106" s="106" t="s">
        <v>252</v>
      </c>
      <c r="C106" s="28"/>
      <c r="D106" s="29"/>
      <c r="E106" s="30"/>
      <c r="F106" s="48">
        <f>D106*E106</f>
        <v>0</v>
      </c>
      <c r="G106" s="49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x14ac:dyDescent="0.25">
      <c r="A107" s="148" t="s">
        <v>199</v>
      </c>
      <c r="B107" s="106" t="s">
        <v>253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x14ac:dyDescent="0.25">
      <c r="A108" s="220" t="s">
        <v>95</v>
      </c>
      <c r="B108" s="221" t="s">
        <v>55</v>
      </c>
      <c r="C108" s="217"/>
      <c r="D108" s="218"/>
      <c r="E108" s="219"/>
      <c r="F108" s="208">
        <f>SUM(F109:F113)</f>
        <v>210000</v>
      </c>
      <c r="G108" s="315">
        <f>SUM(G109:G113)</f>
        <v>295680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39">
        <f t="shared" si="1"/>
        <v>-210000</v>
      </c>
      <c r="T108" s="240">
        <f t="shared" si="2"/>
        <v>-1</v>
      </c>
      <c r="U108" s="239">
        <f t="shared" si="3"/>
        <v>0</v>
      </c>
      <c r="V108" s="239">
        <f t="shared" si="4"/>
        <v>-295680</v>
      </c>
      <c r="W108" s="240">
        <f t="shared" si="5"/>
        <v>-1</v>
      </c>
      <c r="X108" s="240"/>
    </row>
    <row r="109" spans="1:24" x14ac:dyDescent="0.25">
      <c r="A109" s="148" t="s">
        <v>200</v>
      </c>
      <c r="B109" s="106" t="s">
        <v>599</v>
      </c>
      <c r="C109" s="28" t="s">
        <v>326</v>
      </c>
      <c r="D109" s="29">
        <v>7000</v>
      </c>
      <c r="E109" s="30">
        <v>30</v>
      </c>
      <c r="F109" s="48">
        <f>D109*E109</f>
        <v>210000</v>
      </c>
      <c r="G109" s="295">
        <f>F109*C4</f>
        <v>295680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25">
        <f t="shared" si="1"/>
        <v>-210000</v>
      </c>
      <c r="T109" s="231">
        <f t="shared" si="2"/>
        <v>-1</v>
      </c>
      <c r="U109" s="225">
        <f t="shared" si="3"/>
        <v>0</v>
      </c>
      <c r="V109" s="225">
        <f t="shared" si="4"/>
        <v>-295680</v>
      </c>
      <c r="W109" s="231">
        <f t="shared" si="5"/>
        <v>-1</v>
      </c>
      <c r="X109" s="231"/>
    </row>
    <row r="110" spans="1:24" x14ac:dyDescent="0.25">
      <c r="A110" s="148" t="s">
        <v>201</v>
      </c>
      <c r="B110" s="106" t="s">
        <v>258</v>
      </c>
      <c r="C110" s="28"/>
      <c r="D110" s="29"/>
      <c r="E110" s="30"/>
      <c r="F110" s="48">
        <f>D110*E110</f>
        <v>0</v>
      </c>
      <c r="G110" s="295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x14ac:dyDescent="0.25">
      <c r="A111" s="148" t="s">
        <v>202</v>
      </c>
      <c r="B111" s="106" t="s">
        <v>257</v>
      </c>
      <c r="C111" s="28"/>
      <c r="D111" s="29"/>
      <c r="E111" s="30"/>
      <c r="F111" s="48">
        <f>D111*E111</f>
        <v>0</v>
      </c>
      <c r="G111" s="295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x14ac:dyDescent="0.25">
      <c r="A112" s="148" t="s">
        <v>203</v>
      </c>
      <c r="B112" s="106" t="s">
        <v>256</v>
      </c>
      <c r="C112" s="28"/>
      <c r="D112" s="29"/>
      <c r="E112" s="30"/>
      <c r="F112" s="48">
        <f>D112*E112</f>
        <v>0</v>
      </c>
      <c r="G112" s="295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x14ac:dyDescent="0.25">
      <c r="A113" s="148" t="s">
        <v>204</v>
      </c>
      <c r="B113" s="106" t="s">
        <v>255</v>
      </c>
      <c r="C113" s="28"/>
      <c r="D113" s="29"/>
      <c r="E113" s="30"/>
      <c r="F113" s="48">
        <f>D113*E113</f>
        <v>0</v>
      </c>
      <c r="G113" s="295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x14ac:dyDescent="0.25">
      <c r="A114" s="220" t="s">
        <v>96</v>
      </c>
      <c r="B114" s="221" t="s">
        <v>67</v>
      </c>
      <c r="C114" s="217"/>
      <c r="D114" s="218"/>
      <c r="E114" s="219"/>
      <c r="F114" s="208">
        <f>SUM(F115:F119)</f>
        <v>0</v>
      </c>
      <c r="G114" s="315">
        <f>SUM(G115:G119)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39">
        <f t="shared" si="1"/>
        <v>0</v>
      </c>
      <c r="T114" s="240">
        <f t="shared" si="2"/>
        <v>0</v>
      </c>
      <c r="U114" s="239">
        <f t="shared" si="3"/>
        <v>0</v>
      </c>
      <c r="V114" s="239">
        <f t="shared" si="4"/>
        <v>0</v>
      </c>
      <c r="W114" s="240">
        <f t="shared" si="5"/>
        <v>0</v>
      </c>
      <c r="X114" s="240"/>
    </row>
    <row r="115" spans="1:24" x14ac:dyDescent="0.25">
      <c r="A115" s="148" t="s">
        <v>205</v>
      </c>
      <c r="B115" s="106" t="s">
        <v>259</v>
      </c>
      <c r="C115" s="28"/>
      <c r="D115" s="29"/>
      <c r="E115" s="30"/>
      <c r="F115" s="48">
        <f>D115*E115</f>
        <v>0</v>
      </c>
      <c r="G115" s="295">
        <f>F115*C4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25">
        <f t="shared" si="1"/>
        <v>0</v>
      </c>
      <c r="T115" s="231">
        <f t="shared" si="2"/>
        <v>0</v>
      </c>
      <c r="U115" s="225">
        <f t="shared" si="3"/>
        <v>0</v>
      </c>
      <c r="V115" s="225">
        <f t="shared" si="4"/>
        <v>0</v>
      </c>
      <c r="W115" s="231">
        <f t="shared" si="5"/>
        <v>0</v>
      </c>
      <c r="X115" s="231"/>
    </row>
    <row r="116" spans="1:24" x14ac:dyDescent="0.25">
      <c r="A116" s="148" t="s">
        <v>206</v>
      </c>
      <c r="B116" s="106" t="s">
        <v>260</v>
      </c>
      <c r="C116" s="28"/>
      <c r="D116" s="29"/>
      <c r="E116" s="30"/>
      <c r="F116" s="48">
        <f>D116*E116</f>
        <v>0</v>
      </c>
      <c r="G116" s="295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x14ac:dyDescent="0.25">
      <c r="A117" s="148" t="s">
        <v>207</v>
      </c>
      <c r="B117" s="106" t="s">
        <v>261</v>
      </c>
      <c r="C117" s="28"/>
      <c r="D117" s="29"/>
      <c r="E117" s="30"/>
      <c r="F117" s="48">
        <f>D117*E117</f>
        <v>0</v>
      </c>
      <c r="G117" s="295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x14ac:dyDescent="0.25">
      <c r="A118" s="148" t="s">
        <v>208</v>
      </c>
      <c r="B118" s="106" t="s">
        <v>262</v>
      </c>
      <c r="C118" s="28"/>
      <c r="D118" s="29"/>
      <c r="E118" s="30"/>
      <c r="F118" s="48">
        <f>D118*E118</f>
        <v>0</v>
      </c>
      <c r="G118" s="295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x14ac:dyDescent="0.25">
      <c r="A119" s="148" t="s">
        <v>209</v>
      </c>
      <c r="B119" s="106" t="s">
        <v>263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x14ac:dyDescent="0.25">
      <c r="A120" s="220" t="s">
        <v>97</v>
      </c>
      <c r="B120" s="221" t="s">
        <v>68</v>
      </c>
      <c r="C120" s="217"/>
      <c r="D120" s="218"/>
      <c r="E120" s="219"/>
      <c r="F120" s="208">
        <f>SUM(F121:F125)</f>
        <v>77000</v>
      </c>
      <c r="G120" s="315">
        <f>SUM(G121:G125)</f>
        <v>108416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39">
        <f t="shared" si="1"/>
        <v>-77000</v>
      </c>
      <c r="T120" s="240">
        <f t="shared" si="2"/>
        <v>-1</v>
      </c>
      <c r="U120" s="239">
        <f t="shared" si="3"/>
        <v>0</v>
      </c>
      <c r="V120" s="239">
        <f t="shared" si="4"/>
        <v>-108416</v>
      </c>
      <c r="W120" s="240">
        <f t="shared" si="5"/>
        <v>-1</v>
      </c>
      <c r="X120" s="240"/>
    </row>
    <row r="121" spans="1:24" x14ac:dyDescent="0.25">
      <c r="A121" s="148" t="s">
        <v>210</v>
      </c>
      <c r="B121" s="106" t="s">
        <v>327</v>
      </c>
      <c r="C121" s="28" t="s">
        <v>323</v>
      </c>
      <c r="D121" s="29">
        <v>8</v>
      </c>
      <c r="E121" s="30">
        <v>3000</v>
      </c>
      <c r="F121" s="48">
        <f>D121*E121</f>
        <v>24000</v>
      </c>
      <c r="G121" s="295">
        <f>F121*C4</f>
        <v>33792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25">
        <f t="shared" si="1"/>
        <v>-24000</v>
      </c>
      <c r="T121" s="231">
        <f t="shared" si="2"/>
        <v>-1</v>
      </c>
      <c r="U121" s="225">
        <f t="shared" si="3"/>
        <v>0</v>
      </c>
      <c r="V121" s="225">
        <f t="shared" si="4"/>
        <v>-33792</v>
      </c>
      <c r="W121" s="231">
        <f t="shared" si="5"/>
        <v>-1</v>
      </c>
      <c r="X121" s="231"/>
    </row>
    <row r="122" spans="1:24" x14ac:dyDescent="0.25">
      <c r="A122" s="148" t="s">
        <v>211</v>
      </c>
      <c r="B122" s="106" t="s">
        <v>328</v>
      </c>
      <c r="C122" s="28" t="s">
        <v>331</v>
      </c>
      <c r="D122" s="29">
        <v>32</v>
      </c>
      <c r="E122" s="30">
        <v>500</v>
      </c>
      <c r="F122" s="48">
        <f>D122*E122</f>
        <v>16000</v>
      </c>
      <c r="G122" s="295">
        <f>F122*C4</f>
        <v>22528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-16000</v>
      </c>
      <c r="T122" s="231">
        <f t="shared" si="2"/>
        <v>-1</v>
      </c>
      <c r="U122" s="225">
        <f t="shared" si="3"/>
        <v>0</v>
      </c>
      <c r="V122" s="225">
        <f t="shared" si="4"/>
        <v>-22528</v>
      </c>
      <c r="W122" s="231">
        <f t="shared" si="5"/>
        <v>-1</v>
      </c>
      <c r="X122" s="231"/>
    </row>
    <row r="123" spans="1:24" x14ac:dyDescent="0.25">
      <c r="A123" s="148" t="s">
        <v>212</v>
      </c>
      <c r="B123" s="106" t="s">
        <v>329</v>
      </c>
      <c r="C123" s="28" t="s">
        <v>332</v>
      </c>
      <c r="D123" s="29">
        <v>2500</v>
      </c>
      <c r="E123" s="30">
        <v>10</v>
      </c>
      <c r="F123" s="3">
        <f>D123*E123</f>
        <v>25000</v>
      </c>
      <c r="G123" s="295">
        <f>F123*C4</f>
        <v>35200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-25000</v>
      </c>
      <c r="T123" s="231">
        <f t="shared" si="2"/>
        <v>-1</v>
      </c>
      <c r="U123" s="225">
        <f t="shared" si="3"/>
        <v>0</v>
      </c>
      <c r="V123" s="225">
        <f t="shared" si="4"/>
        <v>-35200</v>
      </c>
      <c r="W123" s="231">
        <f t="shared" si="5"/>
        <v>-1</v>
      </c>
      <c r="X123" s="231"/>
    </row>
    <row r="124" spans="1:24" x14ac:dyDescent="0.25">
      <c r="A124" s="148" t="s">
        <v>213</v>
      </c>
      <c r="B124" s="106" t="s">
        <v>330</v>
      </c>
      <c r="C124" s="28" t="s">
        <v>331</v>
      </c>
      <c r="D124" s="29">
        <v>24</v>
      </c>
      <c r="E124" s="30">
        <v>500</v>
      </c>
      <c r="F124" s="48">
        <f>D124*E124</f>
        <v>12000</v>
      </c>
      <c r="G124" s="295">
        <f>F124*C4</f>
        <v>16896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-12000</v>
      </c>
      <c r="T124" s="231">
        <f t="shared" si="2"/>
        <v>-1</v>
      </c>
      <c r="U124" s="225">
        <f t="shared" si="3"/>
        <v>0</v>
      </c>
      <c r="V124" s="225">
        <f t="shared" si="4"/>
        <v>-16896</v>
      </c>
      <c r="W124" s="231">
        <f t="shared" si="5"/>
        <v>-1</v>
      </c>
      <c r="X124" s="231"/>
    </row>
    <row r="125" spans="1:24" x14ac:dyDescent="0.25">
      <c r="A125" s="148" t="s">
        <v>214</v>
      </c>
      <c r="B125" s="106" t="s">
        <v>268</v>
      </c>
      <c r="C125" s="28"/>
      <c r="D125" s="29"/>
      <c r="E125" s="30"/>
      <c r="F125" s="48">
        <f>D125*E125</f>
        <v>0</v>
      </c>
      <c r="G125" s="295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x14ac:dyDescent="0.25">
      <c r="A126" s="220" t="s">
        <v>98</v>
      </c>
      <c r="B126" s="221" t="s">
        <v>69</v>
      </c>
      <c r="C126" s="217"/>
      <c r="D126" s="218"/>
      <c r="E126" s="219"/>
      <c r="F126" s="208">
        <f>SUM(F127:F131)</f>
        <v>56000</v>
      </c>
      <c r="G126" s="315">
        <f>SUM(G127:G131)</f>
        <v>78848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39">
        <f t="shared" si="1"/>
        <v>-56000</v>
      </c>
      <c r="T126" s="240">
        <f t="shared" si="2"/>
        <v>-1</v>
      </c>
      <c r="U126" s="239">
        <f t="shared" si="3"/>
        <v>0</v>
      </c>
      <c r="V126" s="239">
        <f t="shared" si="4"/>
        <v>-78848</v>
      </c>
      <c r="W126" s="240">
        <f t="shared" si="5"/>
        <v>-1</v>
      </c>
      <c r="X126" s="240"/>
    </row>
    <row r="127" spans="1:24" x14ac:dyDescent="0.25">
      <c r="A127" s="148" t="s">
        <v>215</v>
      </c>
      <c r="B127" s="106" t="s">
        <v>333</v>
      </c>
      <c r="C127" s="28" t="s">
        <v>331</v>
      </c>
      <c r="D127" s="29">
        <v>24</v>
      </c>
      <c r="E127" s="30">
        <v>500</v>
      </c>
      <c r="F127" s="48">
        <f>D127*E127</f>
        <v>12000</v>
      </c>
      <c r="G127" s="295">
        <f>F127*C4</f>
        <v>16896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25">
        <f t="shared" si="1"/>
        <v>-12000</v>
      </c>
      <c r="T127" s="231">
        <f t="shared" si="2"/>
        <v>-1</v>
      </c>
      <c r="U127" s="225">
        <f t="shared" si="3"/>
        <v>0</v>
      </c>
      <c r="V127" s="225">
        <f t="shared" si="4"/>
        <v>-16896</v>
      </c>
      <c r="W127" s="231">
        <f t="shared" si="5"/>
        <v>-1</v>
      </c>
      <c r="X127" s="231"/>
    </row>
    <row r="128" spans="1:24" x14ac:dyDescent="0.25">
      <c r="A128" s="148" t="s">
        <v>216</v>
      </c>
      <c r="B128" s="106" t="s">
        <v>334</v>
      </c>
      <c r="C128" s="28" t="s">
        <v>331</v>
      </c>
      <c r="D128" s="29">
        <v>24</v>
      </c>
      <c r="E128" s="30">
        <v>500</v>
      </c>
      <c r="F128" s="48">
        <f>D128*E128</f>
        <v>12000</v>
      </c>
      <c r="G128" s="295">
        <f>F128*C4</f>
        <v>16896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-12000</v>
      </c>
      <c r="T128" s="231">
        <f t="shared" si="2"/>
        <v>-1</v>
      </c>
      <c r="U128" s="225">
        <f t="shared" si="3"/>
        <v>0</v>
      </c>
      <c r="V128" s="225">
        <f t="shared" si="4"/>
        <v>-16896</v>
      </c>
      <c r="W128" s="231">
        <f t="shared" si="5"/>
        <v>-1</v>
      </c>
      <c r="X128" s="231"/>
    </row>
    <row r="129" spans="1:24" x14ac:dyDescent="0.25">
      <c r="A129" s="148" t="s">
        <v>217</v>
      </c>
      <c r="B129" s="106" t="s">
        <v>335</v>
      </c>
      <c r="C129" s="28" t="s">
        <v>331</v>
      </c>
      <c r="D129" s="29">
        <v>24</v>
      </c>
      <c r="E129" s="30">
        <v>500</v>
      </c>
      <c r="F129" s="48">
        <f>D129*E129</f>
        <v>12000</v>
      </c>
      <c r="G129" s="295">
        <f>F129*C4</f>
        <v>16896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-12000</v>
      </c>
      <c r="T129" s="231">
        <f t="shared" si="2"/>
        <v>-1</v>
      </c>
      <c r="U129" s="225">
        <f t="shared" si="3"/>
        <v>0</v>
      </c>
      <c r="V129" s="225">
        <f t="shared" si="4"/>
        <v>-16896</v>
      </c>
      <c r="W129" s="231">
        <f t="shared" si="5"/>
        <v>-1</v>
      </c>
      <c r="X129" s="231"/>
    </row>
    <row r="130" spans="1:24" x14ac:dyDescent="0.25">
      <c r="A130" s="148" t="s">
        <v>218</v>
      </c>
      <c r="B130" s="106" t="s">
        <v>336</v>
      </c>
      <c r="C130" s="28" t="s">
        <v>331</v>
      </c>
      <c r="D130" s="29">
        <v>24</v>
      </c>
      <c r="E130" s="30">
        <v>500</v>
      </c>
      <c r="F130" s="48">
        <f>D130*E130</f>
        <v>12000</v>
      </c>
      <c r="G130" s="295">
        <f>F130*C4</f>
        <v>16896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-12000</v>
      </c>
      <c r="T130" s="231">
        <f t="shared" si="2"/>
        <v>-1</v>
      </c>
      <c r="U130" s="225">
        <f t="shared" si="3"/>
        <v>0</v>
      </c>
      <c r="V130" s="225">
        <f t="shared" si="4"/>
        <v>-16896</v>
      </c>
      <c r="W130" s="231">
        <f t="shared" si="5"/>
        <v>-1</v>
      </c>
      <c r="X130" s="231"/>
    </row>
    <row r="131" spans="1:24" x14ac:dyDescent="0.25">
      <c r="A131" s="148" t="s">
        <v>219</v>
      </c>
      <c r="B131" s="106" t="s">
        <v>337</v>
      </c>
      <c r="C131" s="28" t="s">
        <v>331</v>
      </c>
      <c r="D131" s="29">
        <v>8</v>
      </c>
      <c r="E131" s="30">
        <v>1000</v>
      </c>
      <c r="F131" s="48">
        <f>D131*E131</f>
        <v>8000</v>
      </c>
      <c r="G131" s="295">
        <f>F131*C4</f>
        <v>11264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-8000</v>
      </c>
      <c r="T131" s="231">
        <f t="shared" si="2"/>
        <v>-1</v>
      </c>
      <c r="U131" s="225">
        <f t="shared" si="3"/>
        <v>0</v>
      </c>
      <c r="V131" s="225">
        <f t="shared" si="4"/>
        <v>-11264</v>
      </c>
      <c r="W131" s="231">
        <f t="shared" si="5"/>
        <v>-1</v>
      </c>
      <c r="X131" s="231"/>
    </row>
    <row r="132" spans="1:24" x14ac:dyDescent="0.25">
      <c r="A132" s="220" t="s">
        <v>99</v>
      </c>
      <c r="B132" s="221" t="s">
        <v>54</v>
      </c>
      <c r="C132" s="217"/>
      <c r="D132" s="218"/>
      <c r="E132" s="219"/>
      <c r="F132" s="208">
        <f>SUM(F133:F142)</f>
        <v>350720</v>
      </c>
      <c r="G132" s="315">
        <f>SUM(G133:G142)</f>
        <v>493813.76000000001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39">
        <f t="shared" si="1"/>
        <v>-350720</v>
      </c>
      <c r="T132" s="240">
        <f t="shared" si="2"/>
        <v>-1</v>
      </c>
      <c r="U132" s="239">
        <f t="shared" si="3"/>
        <v>0</v>
      </c>
      <c r="V132" s="239">
        <f t="shared" si="4"/>
        <v>-493813.76000000001</v>
      </c>
      <c r="W132" s="240">
        <f t="shared" si="5"/>
        <v>-1</v>
      </c>
      <c r="X132" s="240"/>
    </row>
    <row r="133" spans="1:24" x14ac:dyDescent="0.25">
      <c r="A133" s="148" t="s">
        <v>220</v>
      </c>
      <c r="B133" s="106" t="s">
        <v>338</v>
      </c>
      <c r="C133" s="28" t="s">
        <v>331</v>
      </c>
      <c r="D133" s="29">
        <v>24</v>
      </c>
      <c r="E133" s="30">
        <v>500</v>
      </c>
      <c r="F133" s="48">
        <f t="shared" ref="F133:F142" si="7">D133*E133</f>
        <v>12000</v>
      </c>
      <c r="G133" s="295">
        <f>F133*C4</f>
        <v>16896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1"/>
        <v>-12000</v>
      </c>
      <c r="T133" s="231">
        <f t="shared" si="2"/>
        <v>-1</v>
      </c>
      <c r="U133" s="225">
        <f t="shared" si="3"/>
        <v>0</v>
      </c>
      <c r="V133" s="225">
        <f t="shared" si="4"/>
        <v>-16896</v>
      </c>
      <c r="W133" s="231">
        <f t="shared" si="5"/>
        <v>-1</v>
      </c>
      <c r="X133" s="231"/>
    </row>
    <row r="134" spans="1:24" x14ac:dyDescent="0.25">
      <c r="A134" s="148" t="s">
        <v>221</v>
      </c>
      <c r="B134" s="106" t="s">
        <v>339</v>
      </c>
      <c r="C134" s="28" t="s">
        <v>331</v>
      </c>
      <c r="D134" s="29">
        <v>12</v>
      </c>
      <c r="E134" s="30">
        <v>5000</v>
      </c>
      <c r="F134" s="48">
        <f t="shared" si="7"/>
        <v>60000</v>
      </c>
      <c r="G134" s="295">
        <f>F134*C4</f>
        <v>84480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-60000</v>
      </c>
      <c r="T134" s="231">
        <f t="shared" si="2"/>
        <v>-1</v>
      </c>
      <c r="U134" s="225">
        <f t="shared" si="3"/>
        <v>0</v>
      </c>
      <c r="V134" s="225">
        <f t="shared" si="4"/>
        <v>-84480</v>
      </c>
      <c r="W134" s="231">
        <f t="shared" si="5"/>
        <v>-1</v>
      </c>
      <c r="X134" s="231"/>
    </row>
    <row r="135" spans="1:24" x14ac:dyDescent="0.25">
      <c r="A135" s="148" t="s">
        <v>222</v>
      </c>
      <c r="B135" s="106" t="s">
        <v>340</v>
      </c>
      <c r="C135" s="28" t="s">
        <v>2</v>
      </c>
      <c r="D135" s="29">
        <v>25</v>
      </c>
      <c r="E135" s="30">
        <v>8000</v>
      </c>
      <c r="F135" s="48">
        <f t="shared" si="7"/>
        <v>200000</v>
      </c>
      <c r="G135" s="295">
        <f>F135*C4</f>
        <v>281600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-200000</v>
      </c>
      <c r="T135" s="231">
        <f t="shared" si="2"/>
        <v>-1</v>
      </c>
      <c r="U135" s="225">
        <f t="shared" si="3"/>
        <v>0</v>
      </c>
      <c r="V135" s="225">
        <f t="shared" si="4"/>
        <v>-281600</v>
      </c>
      <c r="W135" s="231">
        <f t="shared" si="5"/>
        <v>-1</v>
      </c>
      <c r="X135" s="231"/>
    </row>
    <row r="136" spans="1:24" x14ac:dyDescent="0.25">
      <c r="A136" s="148" t="s">
        <v>223</v>
      </c>
      <c r="B136" s="106" t="s">
        <v>341</v>
      </c>
      <c r="C136" s="28" t="s">
        <v>331</v>
      </c>
      <c r="D136" s="29">
        <v>24</v>
      </c>
      <c r="E136" s="30">
        <v>500</v>
      </c>
      <c r="F136" s="48">
        <f t="shared" si="7"/>
        <v>12000</v>
      </c>
      <c r="G136" s="295">
        <f>F136*C4</f>
        <v>16896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-12000</v>
      </c>
      <c r="T136" s="231">
        <f t="shared" si="2"/>
        <v>-1</v>
      </c>
      <c r="U136" s="225">
        <f t="shared" si="3"/>
        <v>0</v>
      </c>
      <c r="V136" s="225">
        <f t="shared" si="4"/>
        <v>-16896</v>
      </c>
      <c r="W136" s="231">
        <f t="shared" si="5"/>
        <v>-1</v>
      </c>
      <c r="X136" s="231"/>
    </row>
    <row r="137" spans="1:24" x14ac:dyDescent="0.25">
      <c r="A137" s="148" t="s">
        <v>224</v>
      </c>
      <c r="B137" s="106" t="s">
        <v>342</v>
      </c>
      <c r="C137" s="28" t="s">
        <v>331</v>
      </c>
      <c r="D137" s="29">
        <v>12</v>
      </c>
      <c r="E137" s="30">
        <v>500</v>
      </c>
      <c r="F137" s="48">
        <f t="shared" si="7"/>
        <v>6000</v>
      </c>
      <c r="G137" s="295">
        <f>F137*C4</f>
        <v>8448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-6000</v>
      </c>
      <c r="T137" s="231">
        <f t="shared" si="2"/>
        <v>-1</v>
      </c>
      <c r="U137" s="225">
        <f t="shared" si="3"/>
        <v>0</v>
      </c>
      <c r="V137" s="225">
        <f>U137-G137</f>
        <v>-8448</v>
      </c>
      <c r="W137" s="231">
        <f>IF(G137=0,0,V137/G137)</f>
        <v>-1</v>
      </c>
      <c r="X137" s="231"/>
    </row>
    <row r="138" spans="1:24" x14ac:dyDescent="0.25">
      <c r="A138" s="148" t="s">
        <v>343</v>
      </c>
      <c r="B138" s="106" t="s">
        <v>344</v>
      </c>
      <c r="C138" s="28" t="s">
        <v>331</v>
      </c>
      <c r="D138" s="29">
        <v>12</v>
      </c>
      <c r="E138" s="30">
        <v>500</v>
      </c>
      <c r="F138" s="48">
        <f t="shared" si="7"/>
        <v>6000</v>
      </c>
      <c r="G138" s="295">
        <f>F138*C4</f>
        <v>8448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/>
      <c r="T138" s="231"/>
      <c r="U138" s="225"/>
      <c r="V138" s="225"/>
      <c r="W138" s="231"/>
      <c r="X138" s="231"/>
    </row>
    <row r="139" spans="1:24" x14ac:dyDescent="0.25">
      <c r="A139" s="148" t="s">
        <v>345</v>
      </c>
      <c r="B139" s="106" t="s">
        <v>346</v>
      </c>
      <c r="C139" s="28" t="s">
        <v>331</v>
      </c>
      <c r="D139" s="29">
        <v>24</v>
      </c>
      <c r="E139" s="30">
        <v>500</v>
      </c>
      <c r="F139" s="48">
        <f t="shared" si="7"/>
        <v>12000</v>
      </c>
      <c r="G139" s="295">
        <f>F139*C4</f>
        <v>16896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25"/>
      <c r="T139" s="231"/>
      <c r="U139" s="225"/>
      <c r="V139" s="225"/>
      <c r="W139" s="231"/>
      <c r="X139" s="231"/>
    </row>
    <row r="140" spans="1:24" ht="13.5" customHeight="1" x14ac:dyDescent="0.25">
      <c r="A140" s="148" t="s">
        <v>347</v>
      </c>
      <c r="B140" s="106" t="s">
        <v>348</v>
      </c>
      <c r="C140" s="28" t="s">
        <v>331</v>
      </c>
      <c r="D140" s="29">
        <v>24</v>
      </c>
      <c r="E140" s="30">
        <v>780</v>
      </c>
      <c r="F140" s="48">
        <f t="shared" si="7"/>
        <v>18720</v>
      </c>
      <c r="G140" s="295">
        <f>F140*C4</f>
        <v>26357.759999999998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/>
      <c r="T140" s="231"/>
      <c r="U140" s="225"/>
      <c r="V140" s="225"/>
      <c r="W140" s="231"/>
      <c r="X140" s="231"/>
    </row>
    <row r="141" spans="1:24" x14ac:dyDescent="0.25">
      <c r="A141" s="148" t="s">
        <v>349</v>
      </c>
      <c r="B141" s="106" t="s">
        <v>350</v>
      </c>
      <c r="C141" s="28" t="s">
        <v>331</v>
      </c>
      <c r="D141" s="29">
        <v>24</v>
      </c>
      <c r="E141" s="30">
        <v>500</v>
      </c>
      <c r="F141" s="48">
        <f t="shared" si="7"/>
        <v>12000</v>
      </c>
      <c r="G141" s="295">
        <f>F141*C4</f>
        <v>16896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/>
      <c r="T141" s="231"/>
      <c r="U141" s="225"/>
      <c r="V141" s="225"/>
      <c r="W141" s="231"/>
      <c r="X141" s="231"/>
    </row>
    <row r="142" spans="1:24" x14ac:dyDescent="0.25">
      <c r="A142" s="148" t="s">
        <v>351</v>
      </c>
      <c r="B142" s="106" t="s">
        <v>352</v>
      </c>
      <c r="C142" s="28" t="s">
        <v>331</v>
      </c>
      <c r="D142" s="29">
        <v>24</v>
      </c>
      <c r="E142" s="30">
        <v>500</v>
      </c>
      <c r="F142" s="48">
        <f t="shared" si="7"/>
        <v>12000</v>
      </c>
      <c r="G142" s="295">
        <f>F142*C4</f>
        <v>16896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/>
      <c r="T142" s="231"/>
      <c r="U142" s="225"/>
      <c r="V142" s="225"/>
      <c r="W142" s="231"/>
      <c r="X142" s="231"/>
    </row>
    <row r="143" spans="1:24" x14ac:dyDescent="0.25">
      <c r="A143" s="220" t="s">
        <v>100</v>
      </c>
      <c r="B143" s="221" t="s">
        <v>53</v>
      </c>
      <c r="C143" s="217"/>
      <c r="D143" s="218"/>
      <c r="E143" s="219"/>
      <c r="F143" s="208">
        <f>SUM(F144:F151)</f>
        <v>136700</v>
      </c>
      <c r="G143" s="315">
        <f>SUM(G144:G151)</f>
        <v>192473.60000000001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39">
        <f t="shared" si="1"/>
        <v>-136700</v>
      </c>
      <c r="T143" s="240">
        <f t="shared" si="2"/>
        <v>-1</v>
      </c>
      <c r="U143" s="239">
        <f t="shared" si="3"/>
        <v>0</v>
      </c>
      <c r="V143" s="239">
        <f t="shared" si="4"/>
        <v>-192473.60000000001</v>
      </c>
      <c r="W143" s="240">
        <f t="shared" si="5"/>
        <v>-1</v>
      </c>
      <c r="X143" s="240"/>
    </row>
    <row r="144" spans="1:24" x14ac:dyDescent="0.25">
      <c r="A144" s="148" t="s">
        <v>225</v>
      </c>
      <c r="B144" s="106" t="s">
        <v>355</v>
      </c>
      <c r="C144" s="28" t="s">
        <v>331</v>
      </c>
      <c r="D144" s="29">
        <v>24</v>
      </c>
      <c r="E144" s="30">
        <v>300</v>
      </c>
      <c r="F144" s="48">
        <f t="shared" ref="F144:F151" si="8">D144*E144</f>
        <v>7200</v>
      </c>
      <c r="G144" s="295">
        <f>F144*C4</f>
        <v>10137.599999999999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-7200</v>
      </c>
      <c r="T144" s="231">
        <f t="shared" si="2"/>
        <v>-1</v>
      </c>
      <c r="U144" s="225">
        <f t="shared" si="3"/>
        <v>0</v>
      </c>
      <c r="V144" s="225">
        <f t="shared" si="4"/>
        <v>-10137.599999999999</v>
      </c>
      <c r="W144" s="231">
        <f t="shared" si="5"/>
        <v>-1</v>
      </c>
      <c r="X144" s="231"/>
    </row>
    <row r="145" spans="1:24" x14ac:dyDescent="0.25">
      <c r="A145" s="148" t="s">
        <v>226</v>
      </c>
      <c r="B145" s="106" t="s">
        <v>356</v>
      </c>
      <c r="C145" s="28" t="s">
        <v>331</v>
      </c>
      <c r="D145" s="29">
        <v>24</v>
      </c>
      <c r="E145" s="30">
        <v>500</v>
      </c>
      <c r="F145" s="48">
        <f t="shared" si="8"/>
        <v>12000</v>
      </c>
      <c r="G145" s="295">
        <f>F145*C4</f>
        <v>16896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>
        <f t="shared" si="1"/>
        <v>-12000</v>
      </c>
      <c r="T145" s="231">
        <f t="shared" si="2"/>
        <v>-1</v>
      </c>
      <c r="U145" s="225">
        <f t="shared" si="3"/>
        <v>0</v>
      </c>
      <c r="V145" s="225">
        <f t="shared" si="4"/>
        <v>-16896</v>
      </c>
      <c r="W145" s="231">
        <f t="shared" si="5"/>
        <v>-1</v>
      </c>
      <c r="X145" s="231"/>
    </row>
    <row r="146" spans="1:24" x14ac:dyDescent="0.25">
      <c r="A146" s="148" t="s">
        <v>227</v>
      </c>
      <c r="B146" s="106" t="s">
        <v>357</v>
      </c>
      <c r="C146" s="28" t="s">
        <v>331</v>
      </c>
      <c r="D146" s="29">
        <v>24</v>
      </c>
      <c r="E146" s="30">
        <v>500</v>
      </c>
      <c r="F146" s="48">
        <f t="shared" si="8"/>
        <v>12000</v>
      </c>
      <c r="G146" s="295">
        <f>F146*C4</f>
        <v>16896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1"/>
        <v>-12000</v>
      </c>
      <c r="T146" s="231">
        <f t="shared" si="2"/>
        <v>-1</v>
      </c>
      <c r="U146" s="225">
        <f t="shared" si="3"/>
        <v>0</v>
      </c>
      <c r="V146" s="225">
        <f t="shared" si="4"/>
        <v>-16896</v>
      </c>
      <c r="W146" s="231">
        <f t="shared" si="5"/>
        <v>-1</v>
      </c>
      <c r="X146" s="231"/>
    </row>
    <row r="147" spans="1:24" x14ac:dyDescent="0.25">
      <c r="A147" s="148" t="s">
        <v>228</v>
      </c>
      <c r="B147" s="106" t="s">
        <v>358</v>
      </c>
      <c r="C147" s="28" t="s">
        <v>331</v>
      </c>
      <c r="D147" s="29">
        <v>8</v>
      </c>
      <c r="E147" s="30">
        <v>3000</v>
      </c>
      <c r="F147" s="48">
        <f t="shared" si="8"/>
        <v>24000</v>
      </c>
      <c r="G147" s="295">
        <f>F147*C4</f>
        <v>33792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si="1"/>
        <v>-24000</v>
      </c>
      <c r="T147" s="231">
        <f t="shared" si="2"/>
        <v>-1</v>
      </c>
      <c r="U147" s="225">
        <f t="shared" si="3"/>
        <v>0</v>
      </c>
      <c r="V147" s="225">
        <f t="shared" si="4"/>
        <v>-33792</v>
      </c>
      <c r="W147" s="231">
        <f t="shared" si="5"/>
        <v>-1</v>
      </c>
      <c r="X147" s="231"/>
    </row>
    <row r="148" spans="1:24" x14ac:dyDescent="0.25">
      <c r="A148" s="148" t="s">
        <v>229</v>
      </c>
      <c r="B148" s="106" t="s">
        <v>359</v>
      </c>
      <c r="C148" s="28" t="s">
        <v>331</v>
      </c>
      <c r="D148" s="29">
        <v>12</v>
      </c>
      <c r="E148" s="30">
        <v>500</v>
      </c>
      <c r="F148" s="48">
        <f t="shared" si="8"/>
        <v>6000</v>
      </c>
      <c r="G148" s="295">
        <f>F148*C4</f>
        <v>8448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/>
      <c r="T148" s="231"/>
      <c r="U148" s="225"/>
      <c r="V148" s="225"/>
      <c r="W148" s="231"/>
      <c r="X148" s="231"/>
    </row>
    <row r="149" spans="1:24" x14ac:dyDescent="0.25">
      <c r="A149" s="148" t="s">
        <v>354</v>
      </c>
      <c r="B149" s="106" t="s">
        <v>360</v>
      </c>
      <c r="C149" s="28" t="s">
        <v>331</v>
      </c>
      <c r="D149" s="29">
        <v>8</v>
      </c>
      <c r="E149" s="30">
        <v>1000</v>
      </c>
      <c r="F149" s="48">
        <f t="shared" si="8"/>
        <v>8000</v>
      </c>
      <c r="G149" s="295">
        <f>F149*C4</f>
        <v>11264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/>
      <c r="T149" s="231"/>
      <c r="U149" s="225"/>
      <c r="V149" s="225"/>
      <c r="W149" s="231"/>
      <c r="X149" s="231"/>
    </row>
    <row r="150" spans="1:24" x14ac:dyDescent="0.25">
      <c r="A150" s="148" t="s">
        <v>797</v>
      </c>
      <c r="B150" s="106" t="s">
        <v>324</v>
      </c>
      <c r="C150" s="28" t="s">
        <v>798</v>
      </c>
      <c r="D150" s="29">
        <v>2500</v>
      </c>
      <c r="E150" s="30">
        <v>11</v>
      </c>
      <c r="F150" s="48">
        <f t="shared" si="8"/>
        <v>27500</v>
      </c>
      <c r="G150" s="295">
        <f>F150*C4</f>
        <v>38720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/>
      <c r="T150" s="231"/>
      <c r="U150" s="225"/>
      <c r="V150" s="225"/>
      <c r="W150" s="231"/>
      <c r="X150" s="231"/>
    </row>
    <row r="151" spans="1:24" x14ac:dyDescent="0.25">
      <c r="A151" s="148" t="s">
        <v>476</v>
      </c>
      <c r="B151" s="106" t="s">
        <v>361</v>
      </c>
      <c r="C151" s="28" t="s">
        <v>362</v>
      </c>
      <c r="D151" s="29">
        <v>1</v>
      </c>
      <c r="E151" s="30">
        <v>40000</v>
      </c>
      <c r="F151" s="48">
        <f t="shared" si="8"/>
        <v>40000</v>
      </c>
      <c r="G151" s="295">
        <f>F151*C4</f>
        <v>56320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>
        <f t="shared" si="1"/>
        <v>-40000</v>
      </c>
      <c r="T151" s="231">
        <f t="shared" si="2"/>
        <v>-1</v>
      </c>
      <c r="U151" s="225">
        <f t="shared" si="3"/>
        <v>0</v>
      </c>
      <c r="V151" s="225">
        <f t="shared" si="4"/>
        <v>-56320</v>
      </c>
      <c r="W151" s="231">
        <f t="shared" si="5"/>
        <v>-1</v>
      </c>
      <c r="X151" s="231"/>
    </row>
    <row r="152" spans="1:24" x14ac:dyDescent="0.25">
      <c r="A152" s="220" t="s">
        <v>101</v>
      </c>
      <c r="B152" s="221" t="s">
        <v>70</v>
      </c>
      <c r="C152" s="217"/>
      <c r="D152" s="218"/>
      <c r="E152" s="219"/>
      <c r="F152" s="208">
        <f>SUM(F153:F157)</f>
        <v>9600</v>
      </c>
      <c r="G152" s="315">
        <f>SUM(G153:G157)</f>
        <v>13516.8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39">
        <f t="shared" si="1"/>
        <v>-9600</v>
      </c>
      <c r="T152" s="240">
        <f t="shared" si="2"/>
        <v>-1</v>
      </c>
      <c r="U152" s="239">
        <f t="shared" si="3"/>
        <v>0</v>
      </c>
      <c r="V152" s="239">
        <f t="shared" si="4"/>
        <v>-13516.8</v>
      </c>
      <c r="W152" s="240">
        <f t="shared" si="5"/>
        <v>-1</v>
      </c>
      <c r="X152" s="240"/>
    </row>
    <row r="153" spans="1:24" x14ac:dyDescent="0.25">
      <c r="A153" s="148" t="s">
        <v>230</v>
      </c>
      <c r="B153" s="106" t="s">
        <v>363</v>
      </c>
      <c r="C153" s="28" t="s">
        <v>364</v>
      </c>
      <c r="D153" s="29">
        <v>8</v>
      </c>
      <c r="E153" s="30">
        <v>1200</v>
      </c>
      <c r="F153" s="48">
        <f>D153*E153</f>
        <v>9600</v>
      </c>
      <c r="G153" s="295">
        <f>F153*C4</f>
        <v>13516.8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ref="S153:S220" si="9">R153-F153</f>
        <v>-9600</v>
      </c>
      <c r="T153" s="231">
        <f t="shared" ref="T153:T220" si="10">IF(F153=0,0,S153/F153)</f>
        <v>-1</v>
      </c>
      <c r="U153" s="225">
        <f t="shared" ref="U153:U220" si="11">R153*$C$4</f>
        <v>0</v>
      </c>
      <c r="V153" s="225">
        <f t="shared" ref="V153:V220" si="12">U153-G153</f>
        <v>-13516.8</v>
      </c>
      <c r="W153" s="231">
        <f t="shared" ref="W153:W220" si="13">IF(G153=0,0,V153/G153)</f>
        <v>-1</v>
      </c>
      <c r="X153" s="231"/>
    </row>
    <row r="154" spans="1:24" x14ac:dyDescent="0.25">
      <c r="A154" s="148" t="s">
        <v>231</v>
      </c>
      <c r="B154" s="106" t="s">
        <v>285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9"/>
        <v>0</v>
      </c>
      <c r="T154" s="231">
        <f t="shared" si="10"/>
        <v>0</v>
      </c>
      <c r="U154" s="225">
        <f t="shared" si="11"/>
        <v>0</v>
      </c>
      <c r="V154" s="225">
        <f t="shared" si="12"/>
        <v>0</v>
      </c>
      <c r="W154" s="231">
        <f t="shared" si="13"/>
        <v>0</v>
      </c>
      <c r="X154" s="231"/>
    </row>
    <row r="155" spans="1:24" x14ac:dyDescent="0.25">
      <c r="A155" s="148" t="s">
        <v>232</v>
      </c>
      <c r="B155" s="106" t="s">
        <v>286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9"/>
        <v>0</v>
      </c>
      <c r="T155" s="231">
        <f t="shared" si="10"/>
        <v>0</v>
      </c>
      <c r="U155" s="225">
        <f t="shared" si="11"/>
        <v>0</v>
      </c>
      <c r="V155" s="225">
        <f t="shared" si="12"/>
        <v>0</v>
      </c>
      <c r="W155" s="231">
        <f t="shared" si="13"/>
        <v>0</v>
      </c>
      <c r="X155" s="231"/>
    </row>
    <row r="156" spans="1:24" x14ac:dyDescent="0.25">
      <c r="A156" s="148" t="s">
        <v>233</v>
      </c>
      <c r="B156" s="106" t="s">
        <v>287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9"/>
        <v>0</v>
      </c>
      <c r="T156" s="231">
        <f t="shared" si="10"/>
        <v>0</v>
      </c>
      <c r="U156" s="225">
        <f t="shared" si="11"/>
        <v>0</v>
      </c>
      <c r="V156" s="225">
        <f t="shared" si="12"/>
        <v>0</v>
      </c>
      <c r="W156" s="231">
        <f t="shared" si="13"/>
        <v>0</v>
      </c>
      <c r="X156" s="231"/>
    </row>
    <row r="157" spans="1:24" x14ac:dyDescent="0.25">
      <c r="A157" s="148" t="s">
        <v>234</v>
      </c>
      <c r="B157" s="106" t="s">
        <v>288</v>
      </c>
      <c r="C157" s="28"/>
      <c r="D157" s="29"/>
      <c r="E157" s="30"/>
      <c r="F157" s="48">
        <f>D157*E157</f>
        <v>0</v>
      </c>
      <c r="G157" s="295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9"/>
        <v>0</v>
      </c>
      <c r="T157" s="231">
        <f t="shared" si="10"/>
        <v>0</v>
      </c>
      <c r="U157" s="225">
        <f t="shared" si="11"/>
        <v>0</v>
      </c>
      <c r="V157" s="225">
        <f t="shared" si="12"/>
        <v>0</v>
      </c>
      <c r="W157" s="231">
        <f t="shared" si="13"/>
        <v>0</v>
      </c>
      <c r="X157" s="231"/>
    </row>
    <row r="158" spans="1:24" x14ac:dyDescent="0.25">
      <c r="A158" s="220" t="s">
        <v>102</v>
      </c>
      <c r="B158" s="221" t="s">
        <v>295</v>
      </c>
      <c r="C158" s="217"/>
      <c r="D158" s="218"/>
      <c r="E158" s="219"/>
      <c r="F158" s="208">
        <f>SUM(F159:F163)</f>
        <v>0</v>
      </c>
      <c r="G158" s="315">
        <f>SUM(G159:G163)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39">
        <f t="shared" si="9"/>
        <v>0</v>
      </c>
      <c r="T158" s="240">
        <f t="shared" si="10"/>
        <v>0</v>
      </c>
      <c r="U158" s="239">
        <f t="shared" si="11"/>
        <v>0</v>
      </c>
      <c r="V158" s="239">
        <f t="shared" si="12"/>
        <v>0</v>
      </c>
      <c r="W158" s="240">
        <f t="shared" si="13"/>
        <v>0</v>
      </c>
      <c r="X158" s="240"/>
    </row>
    <row r="159" spans="1:24" x14ac:dyDescent="0.25">
      <c r="A159" s="153" t="s">
        <v>235</v>
      </c>
      <c r="B159" s="106" t="s">
        <v>298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9"/>
        <v>0</v>
      </c>
      <c r="T159" s="231">
        <f t="shared" si="10"/>
        <v>0</v>
      </c>
      <c r="U159" s="225">
        <f t="shared" si="11"/>
        <v>0</v>
      </c>
      <c r="V159" s="225">
        <f t="shared" si="12"/>
        <v>0</v>
      </c>
      <c r="W159" s="231">
        <f t="shared" si="13"/>
        <v>0</v>
      </c>
      <c r="X159" s="231"/>
    </row>
    <row r="160" spans="1:24" x14ac:dyDescent="0.25">
      <c r="A160" s="153" t="s">
        <v>236</v>
      </c>
      <c r="B160" s="106" t="s">
        <v>299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9"/>
        <v>0</v>
      </c>
      <c r="T160" s="231">
        <f t="shared" si="10"/>
        <v>0</v>
      </c>
      <c r="U160" s="225">
        <f t="shared" si="11"/>
        <v>0</v>
      </c>
      <c r="V160" s="225">
        <f t="shared" si="12"/>
        <v>0</v>
      </c>
      <c r="W160" s="231">
        <f t="shared" si="13"/>
        <v>0</v>
      </c>
      <c r="X160" s="231"/>
    </row>
    <row r="161" spans="1:24" x14ac:dyDescent="0.25">
      <c r="A161" s="153" t="s">
        <v>237</v>
      </c>
      <c r="B161" s="106" t="s">
        <v>300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9"/>
        <v>0</v>
      </c>
      <c r="T161" s="231">
        <f t="shared" si="10"/>
        <v>0</v>
      </c>
      <c r="U161" s="225">
        <f t="shared" si="11"/>
        <v>0</v>
      </c>
      <c r="V161" s="225">
        <f t="shared" si="12"/>
        <v>0</v>
      </c>
      <c r="W161" s="231">
        <f t="shared" si="13"/>
        <v>0</v>
      </c>
      <c r="X161" s="231"/>
    </row>
    <row r="162" spans="1:24" x14ac:dyDescent="0.25">
      <c r="A162" s="153" t="s">
        <v>238</v>
      </c>
      <c r="B162" s="106" t="s">
        <v>301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9"/>
        <v>0</v>
      </c>
      <c r="T162" s="231">
        <f t="shared" si="10"/>
        <v>0</v>
      </c>
      <c r="U162" s="225">
        <f t="shared" si="11"/>
        <v>0</v>
      </c>
      <c r="V162" s="225">
        <f t="shared" si="12"/>
        <v>0</v>
      </c>
      <c r="W162" s="231">
        <f t="shared" si="13"/>
        <v>0</v>
      </c>
      <c r="X162" s="231"/>
    </row>
    <row r="163" spans="1:24" x14ac:dyDescent="0.25">
      <c r="A163" s="153" t="s">
        <v>239</v>
      </c>
      <c r="B163" s="106" t="s">
        <v>302</v>
      </c>
      <c r="C163" s="28"/>
      <c r="D163" s="29"/>
      <c r="E163" s="30"/>
      <c r="F163" s="48">
        <f>D163*E163</f>
        <v>0</v>
      </c>
      <c r="G163" s="295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9"/>
        <v>0</v>
      </c>
      <c r="T163" s="231">
        <f t="shared" si="10"/>
        <v>0</v>
      </c>
      <c r="U163" s="225">
        <f t="shared" si="11"/>
        <v>0</v>
      </c>
      <c r="V163" s="225">
        <f t="shared" si="12"/>
        <v>0</v>
      </c>
      <c r="W163" s="231">
        <f t="shared" si="13"/>
        <v>0</v>
      </c>
      <c r="X163" s="231"/>
    </row>
    <row r="164" spans="1:24" x14ac:dyDescent="0.25">
      <c r="A164" s="220" t="s">
        <v>103</v>
      </c>
      <c r="B164" s="221" t="s">
        <v>296</v>
      </c>
      <c r="C164" s="217"/>
      <c r="D164" s="218"/>
      <c r="E164" s="219"/>
      <c r="F164" s="208">
        <f>SUM(F165:F169)</f>
        <v>0</v>
      </c>
      <c r="G164" s="315">
        <f>SUM(G165:G169)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39">
        <f t="shared" si="9"/>
        <v>0</v>
      </c>
      <c r="T164" s="240">
        <f t="shared" si="10"/>
        <v>0</v>
      </c>
      <c r="U164" s="239">
        <f t="shared" si="11"/>
        <v>0</v>
      </c>
      <c r="V164" s="239">
        <f t="shared" si="12"/>
        <v>0</v>
      </c>
      <c r="W164" s="240">
        <f t="shared" si="13"/>
        <v>0</v>
      </c>
      <c r="X164" s="240"/>
    </row>
    <row r="165" spans="1:24" x14ac:dyDescent="0.25">
      <c r="A165" s="148" t="s">
        <v>240</v>
      </c>
      <c r="B165" s="106"/>
      <c r="C165" s="28"/>
      <c r="D165" s="29"/>
      <c r="E165" s="30"/>
      <c r="F165" s="48">
        <f>D165*E165</f>
        <v>0</v>
      </c>
      <c r="G165" s="295">
        <f>F165*C4</f>
        <v>0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25">
        <f t="shared" si="9"/>
        <v>0</v>
      </c>
      <c r="T165" s="231">
        <f t="shared" si="10"/>
        <v>0</v>
      </c>
      <c r="U165" s="225">
        <f t="shared" si="11"/>
        <v>0</v>
      </c>
      <c r="V165" s="225">
        <f t="shared" si="12"/>
        <v>0</v>
      </c>
      <c r="W165" s="231">
        <f t="shared" si="13"/>
        <v>0</v>
      </c>
      <c r="X165" s="231"/>
    </row>
    <row r="166" spans="1:24" x14ac:dyDescent="0.25">
      <c r="A166" s="148" t="s">
        <v>241</v>
      </c>
      <c r="B166" s="106"/>
      <c r="C166" s="28"/>
      <c r="D166" s="29"/>
      <c r="E166" s="30"/>
      <c r="F166" s="48">
        <f>D166*E166</f>
        <v>0</v>
      </c>
      <c r="G166" s="295">
        <f>F166*C4</f>
        <v>0</v>
      </c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62"/>
      <c r="S166" s="225">
        <f t="shared" si="9"/>
        <v>0</v>
      </c>
      <c r="T166" s="231">
        <f t="shared" si="10"/>
        <v>0</v>
      </c>
      <c r="U166" s="225">
        <f t="shared" si="11"/>
        <v>0</v>
      </c>
      <c r="V166" s="225">
        <f t="shared" si="12"/>
        <v>0</v>
      </c>
      <c r="W166" s="231">
        <f t="shared" si="13"/>
        <v>0</v>
      </c>
      <c r="X166" s="231"/>
    </row>
    <row r="167" spans="1:24" x14ac:dyDescent="0.25">
      <c r="A167" s="148" t="s">
        <v>242</v>
      </c>
      <c r="B167" s="106"/>
      <c r="C167" s="28"/>
      <c r="D167" s="29"/>
      <c r="E167" s="30"/>
      <c r="F167" s="48">
        <f>D167*E167</f>
        <v>0</v>
      </c>
      <c r="G167" s="295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9"/>
        <v>0</v>
      </c>
      <c r="T167" s="231">
        <f t="shared" si="10"/>
        <v>0</v>
      </c>
      <c r="U167" s="225">
        <f t="shared" si="11"/>
        <v>0</v>
      </c>
      <c r="V167" s="225">
        <f t="shared" si="12"/>
        <v>0</v>
      </c>
      <c r="W167" s="231">
        <f t="shared" si="13"/>
        <v>0</v>
      </c>
      <c r="X167" s="231"/>
    </row>
    <row r="168" spans="1:24" x14ac:dyDescent="0.25">
      <c r="A168" s="148" t="s">
        <v>243</v>
      </c>
      <c r="B168" s="106"/>
      <c r="C168" s="28"/>
      <c r="D168" s="29"/>
      <c r="E168" s="30"/>
      <c r="F168" s="48">
        <f>D168*E168</f>
        <v>0</v>
      </c>
      <c r="G168" s="295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9"/>
        <v>0</v>
      </c>
      <c r="T168" s="231">
        <f t="shared" si="10"/>
        <v>0</v>
      </c>
      <c r="U168" s="225">
        <f t="shared" si="11"/>
        <v>0</v>
      </c>
      <c r="V168" s="225">
        <f t="shared" si="12"/>
        <v>0</v>
      </c>
      <c r="W168" s="231">
        <f t="shared" si="13"/>
        <v>0</v>
      </c>
      <c r="X168" s="231"/>
    </row>
    <row r="169" spans="1:24" x14ac:dyDescent="0.25">
      <c r="A169" s="148" t="s">
        <v>244</v>
      </c>
      <c r="B169" s="106" t="s">
        <v>306</v>
      </c>
      <c r="C169" s="28"/>
      <c r="D169" s="29"/>
      <c r="E169" s="30"/>
      <c r="F169" s="48">
        <f>D169*E169</f>
        <v>0</v>
      </c>
      <c r="G169" s="295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9"/>
        <v>0</v>
      </c>
      <c r="T169" s="231">
        <f t="shared" si="10"/>
        <v>0</v>
      </c>
      <c r="U169" s="225">
        <f t="shared" si="11"/>
        <v>0</v>
      </c>
      <c r="V169" s="225">
        <f t="shared" si="12"/>
        <v>0</v>
      </c>
      <c r="W169" s="231">
        <f t="shared" si="13"/>
        <v>0</v>
      </c>
      <c r="X169" s="231"/>
    </row>
    <row r="170" spans="1:24" x14ac:dyDescent="0.25">
      <c r="B170" s="149"/>
      <c r="C170" s="31"/>
      <c r="D170" s="32"/>
      <c r="E170" s="33"/>
      <c r="F170" s="48"/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57"/>
      <c r="S170" s="225"/>
      <c r="T170" s="231"/>
      <c r="U170" s="225"/>
      <c r="V170" s="225"/>
      <c r="W170" s="231"/>
      <c r="X170" s="231"/>
    </row>
    <row r="171" spans="1:24" ht="13.8" thickBot="1" x14ac:dyDescent="0.3">
      <c r="A171" s="99"/>
      <c r="B171" s="146" t="s">
        <v>124</v>
      </c>
      <c r="C171" s="118"/>
      <c r="D171" s="122"/>
      <c r="E171" s="123"/>
      <c r="F171" s="50">
        <f>SUM(F103+F108+F114+F120+F126+F132+F143+F152+F158+F164)</f>
        <v>969520</v>
      </c>
      <c r="G171" s="50">
        <f>SUM(G103+G108+G114+G120+G126+G132+G143+G152+G158+G164)</f>
        <v>1365084.1600000001</v>
      </c>
      <c r="H171" s="244"/>
      <c r="I171" s="244"/>
      <c r="J171" s="244"/>
      <c r="K171" s="244"/>
      <c r="L171" s="244"/>
      <c r="M171" s="244"/>
      <c r="N171" s="244"/>
      <c r="O171" s="244"/>
      <c r="P171" s="244"/>
      <c r="Q171" s="253"/>
      <c r="R171" s="263"/>
      <c r="S171" s="237">
        <f t="shared" si="9"/>
        <v>-969520</v>
      </c>
      <c r="T171" s="238">
        <f t="shared" si="10"/>
        <v>-1</v>
      </c>
      <c r="U171" s="237">
        <f t="shared" si="11"/>
        <v>0</v>
      </c>
      <c r="V171" s="237">
        <f t="shared" si="12"/>
        <v>-1365084.1600000001</v>
      </c>
      <c r="W171" s="238">
        <f t="shared" si="13"/>
        <v>-1</v>
      </c>
      <c r="X171" s="238"/>
    </row>
    <row r="172" spans="1:24" ht="13.8" thickTop="1" x14ac:dyDescent="0.25">
      <c r="C172" s="80"/>
      <c r="D172" s="71"/>
      <c r="E172" s="72"/>
      <c r="G172" s="48"/>
      <c r="H172" s="245"/>
      <c r="I172" s="245"/>
      <c r="J172" s="245"/>
      <c r="K172" s="245"/>
      <c r="L172" s="245"/>
      <c r="M172" s="245"/>
      <c r="N172" s="245"/>
      <c r="O172" s="245"/>
      <c r="P172" s="245"/>
      <c r="Q172" s="254"/>
      <c r="R172" s="261"/>
      <c r="S172" s="225"/>
      <c r="T172" s="231"/>
      <c r="U172" s="225"/>
      <c r="V172" s="225"/>
      <c r="W172" s="231"/>
      <c r="X172" s="231"/>
    </row>
    <row r="173" spans="1:24" x14ac:dyDescent="0.25">
      <c r="A173" s="125">
        <v>3</v>
      </c>
      <c r="B173" s="126" t="s">
        <v>127</v>
      </c>
      <c r="C173" s="130"/>
      <c r="D173" s="129"/>
      <c r="E173" s="131"/>
      <c r="F173" s="131"/>
      <c r="G173" s="147"/>
      <c r="H173" s="241"/>
      <c r="I173" s="241"/>
      <c r="J173" s="241"/>
      <c r="K173" s="241"/>
      <c r="L173" s="241"/>
      <c r="M173" s="241"/>
      <c r="N173" s="241"/>
      <c r="O173" s="241"/>
      <c r="P173" s="241"/>
      <c r="Q173" s="252"/>
      <c r="R173" s="260"/>
      <c r="S173" s="230"/>
      <c r="T173" s="232"/>
      <c r="U173" s="230"/>
      <c r="V173" s="230"/>
      <c r="W173" s="232"/>
      <c r="X173" s="232"/>
    </row>
    <row r="174" spans="1:24" x14ac:dyDescent="0.25">
      <c r="A174" s="157" t="s">
        <v>132</v>
      </c>
      <c r="B174" s="140" t="s">
        <v>110</v>
      </c>
      <c r="C174" s="21"/>
      <c r="D174" s="25"/>
      <c r="E174" s="18"/>
      <c r="F174" s="3">
        <f>D174*E174</f>
        <v>0</v>
      </c>
      <c r="G174" s="316">
        <f>F174*C4</f>
        <v>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9"/>
        <v>0</v>
      </c>
      <c r="T174" s="231">
        <f t="shared" si="10"/>
        <v>0</v>
      </c>
      <c r="U174" s="225">
        <f t="shared" si="11"/>
        <v>0</v>
      </c>
      <c r="V174" s="225">
        <f t="shared" si="12"/>
        <v>0</v>
      </c>
      <c r="W174" s="231">
        <f t="shared" si="13"/>
        <v>0</v>
      </c>
      <c r="X174" s="231"/>
    </row>
    <row r="175" spans="1:24" x14ac:dyDescent="0.25">
      <c r="A175" s="157" t="s">
        <v>133</v>
      </c>
      <c r="B175" s="140" t="s">
        <v>48</v>
      </c>
      <c r="C175" s="21"/>
      <c r="D175" s="25"/>
      <c r="E175" s="18"/>
      <c r="F175" s="3">
        <f t="shared" ref="F175:F185" si="14">D175*E175</f>
        <v>0</v>
      </c>
      <c r="G175" s="316">
        <f>F175*C4</f>
        <v>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9"/>
        <v>0</v>
      </c>
      <c r="T175" s="231">
        <f t="shared" si="10"/>
        <v>0</v>
      </c>
      <c r="U175" s="225">
        <f t="shared" si="11"/>
        <v>0</v>
      </c>
      <c r="V175" s="225">
        <f t="shared" si="12"/>
        <v>0</v>
      </c>
      <c r="W175" s="231">
        <f t="shared" si="13"/>
        <v>0</v>
      </c>
      <c r="X175" s="231"/>
    </row>
    <row r="176" spans="1:24" x14ac:dyDescent="0.25">
      <c r="A176" s="157" t="s">
        <v>134</v>
      </c>
      <c r="B176" s="140" t="s">
        <v>106</v>
      </c>
      <c r="C176" s="280"/>
      <c r="D176" s="35"/>
      <c r="E176" s="36"/>
      <c r="F176" s="3">
        <f t="shared" si="14"/>
        <v>0</v>
      </c>
      <c r="G176" s="316">
        <f>F176*C4</f>
        <v>0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>
        <f t="shared" si="9"/>
        <v>0</v>
      </c>
      <c r="T176" s="231">
        <f t="shared" si="10"/>
        <v>0</v>
      </c>
      <c r="U176" s="225">
        <f t="shared" si="11"/>
        <v>0</v>
      </c>
      <c r="V176" s="225">
        <f t="shared" si="12"/>
        <v>0</v>
      </c>
      <c r="W176" s="231">
        <f t="shared" si="13"/>
        <v>0</v>
      </c>
      <c r="X176" s="231"/>
    </row>
    <row r="177" spans="1:24" x14ac:dyDescent="0.25">
      <c r="A177" s="157" t="s">
        <v>135</v>
      </c>
      <c r="B177" s="140" t="s">
        <v>140</v>
      </c>
      <c r="C177" s="280" t="s">
        <v>367</v>
      </c>
      <c r="D177" s="35">
        <v>1</v>
      </c>
      <c r="E177" s="36">
        <v>2840</v>
      </c>
      <c r="F177" s="3">
        <f t="shared" si="14"/>
        <v>2840</v>
      </c>
      <c r="G177" s="316">
        <f>F177*C4</f>
        <v>3998.72</v>
      </c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62"/>
      <c r="S177" s="225">
        <f t="shared" si="9"/>
        <v>-2840</v>
      </c>
      <c r="T177" s="231">
        <f t="shared" si="10"/>
        <v>-1</v>
      </c>
      <c r="U177" s="225">
        <f t="shared" si="11"/>
        <v>0</v>
      </c>
      <c r="V177" s="225">
        <f t="shared" si="12"/>
        <v>-3998.72</v>
      </c>
      <c r="W177" s="231">
        <f t="shared" si="13"/>
        <v>-1</v>
      </c>
      <c r="X177" s="231"/>
    </row>
    <row r="178" spans="1:24" ht="31.5" customHeight="1" x14ac:dyDescent="0.25">
      <c r="A178" s="157" t="s">
        <v>136</v>
      </c>
      <c r="B178" s="364" t="s">
        <v>858</v>
      </c>
      <c r="C178" s="280" t="s">
        <v>367</v>
      </c>
      <c r="D178" s="35">
        <v>2</v>
      </c>
      <c r="E178" s="36">
        <v>8090</v>
      </c>
      <c r="F178" s="3">
        <f t="shared" si="14"/>
        <v>16180</v>
      </c>
      <c r="G178" s="316">
        <f>F178*C4</f>
        <v>22781.439999999999</v>
      </c>
      <c r="H178" s="242"/>
      <c r="I178" s="242"/>
      <c r="J178" s="242"/>
      <c r="K178" s="242"/>
      <c r="L178" s="242"/>
      <c r="M178" s="242"/>
      <c r="N178" s="242"/>
      <c r="O178" s="242"/>
      <c r="P178" s="242"/>
      <c r="Q178" s="251"/>
      <c r="R178" s="262"/>
      <c r="S178" s="225">
        <f t="shared" si="9"/>
        <v>-16180</v>
      </c>
      <c r="T178" s="231">
        <f t="shared" si="10"/>
        <v>-1</v>
      </c>
      <c r="U178" s="225">
        <f t="shared" si="11"/>
        <v>0</v>
      </c>
      <c r="V178" s="225">
        <f t="shared" si="12"/>
        <v>-22781.439999999999</v>
      </c>
      <c r="W178" s="231">
        <f t="shared" si="13"/>
        <v>-1</v>
      </c>
      <c r="X178" s="231"/>
    </row>
    <row r="179" spans="1:24" ht="15" customHeight="1" x14ac:dyDescent="0.25">
      <c r="A179" s="157" t="s">
        <v>137</v>
      </c>
      <c r="B179" s="140" t="s">
        <v>246</v>
      </c>
      <c r="C179" s="280" t="s">
        <v>367</v>
      </c>
      <c r="D179" s="35">
        <v>1</v>
      </c>
      <c r="E179" s="36">
        <v>35400</v>
      </c>
      <c r="F179" s="3">
        <f>D179*E179</f>
        <v>35400</v>
      </c>
      <c r="G179" s="316">
        <f>F179*C4</f>
        <v>49843.199999999997</v>
      </c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62"/>
      <c r="S179" s="225">
        <f t="shared" si="9"/>
        <v>-35400</v>
      </c>
      <c r="T179" s="231">
        <f t="shared" si="10"/>
        <v>-1</v>
      </c>
      <c r="U179" s="225">
        <f t="shared" si="11"/>
        <v>0</v>
      </c>
      <c r="V179" s="225">
        <f t="shared" si="12"/>
        <v>-49843.199999999997</v>
      </c>
      <c r="W179" s="231">
        <f t="shared" si="13"/>
        <v>-1</v>
      </c>
      <c r="X179" s="231"/>
    </row>
    <row r="180" spans="1:24" x14ac:dyDescent="0.25">
      <c r="A180" s="157" t="s">
        <v>138</v>
      </c>
      <c r="B180" s="140" t="s">
        <v>139</v>
      </c>
      <c r="C180" s="280" t="s">
        <v>367</v>
      </c>
      <c r="D180" s="35">
        <v>1</v>
      </c>
      <c r="E180" s="36">
        <v>2000</v>
      </c>
      <c r="F180" s="3">
        <f t="shared" si="14"/>
        <v>2000</v>
      </c>
      <c r="G180" s="316">
        <f>F180*C4</f>
        <v>2816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9"/>
        <v>-2000</v>
      </c>
      <c r="T180" s="231">
        <f t="shared" si="10"/>
        <v>-1</v>
      </c>
      <c r="U180" s="225">
        <f t="shared" si="11"/>
        <v>0</v>
      </c>
      <c r="V180" s="225">
        <f t="shared" si="12"/>
        <v>-2816</v>
      </c>
      <c r="W180" s="231">
        <f t="shared" si="13"/>
        <v>-1</v>
      </c>
      <c r="X180" s="231"/>
    </row>
    <row r="181" spans="1:24" x14ac:dyDescent="0.25">
      <c r="A181" s="157" t="s">
        <v>245</v>
      </c>
      <c r="B181" s="140" t="s">
        <v>165</v>
      </c>
      <c r="C181" s="280" t="s">
        <v>367</v>
      </c>
      <c r="D181" s="35">
        <v>1</v>
      </c>
      <c r="E181" s="36">
        <v>5000</v>
      </c>
      <c r="F181" s="3">
        <f t="shared" si="14"/>
        <v>5000</v>
      </c>
      <c r="G181" s="316">
        <f>F181*$C$4</f>
        <v>7040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9"/>
        <v>-5000</v>
      </c>
      <c r="T181" s="231">
        <f t="shared" si="10"/>
        <v>-1</v>
      </c>
      <c r="U181" s="225">
        <f t="shared" si="11"/>
        <v>0</v>
      </c>
      <c r="V181" s="225">
        <f t="shared" si="12"/>
        <v>-7040</v>
      </c>
      <c r="W181" s="231">
        <f t="shared" si="13"/>
        <v>-1</v>
      </c>
      <c r="X181" s="231"/>
    </row>
    <row r="182" spans="1:24" x14ac:dyDescent="0.25">
      <c r="A182" s="157" t="s">
        <v>561</v>
      </c>
      <c r="B182" s="140" t="s">
        <v>365</v>
      </c>
      <c r="C182" s="28" t="s">
        <v>331</v>
      </c>
      <c r="D182" s="29">
        <v>5</v>
      </c>
      <c r="E182" s="30">
        <v>1000</v>
      </c>
      <c r="F182" s="3">
        <f t="shared" si="14"/>
        <v>5000</v>
      </c>
      <c r="G182" s="316">
        <f>F182*$C$4</f>
        <v>7040</v>
      </c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62"/>
      <c r="S182" s="225"/>
      <c r="T182" s="231"/>
      <c r="U182" s="225"/>
      <c r="V182" s="225"/>
      <c r="W182" s="231"/>
      <c r="X182" s="231"/>
    </row>
    <row r="183" spans="1:24" ht="10.5" customHeight="1" x14ac:dyDescent="0.25">
      <c r="A183" s="157" t="s">
        <v>637</v>
      </c>
      <c r="B183" s="140" t="s">
        <v>753</v>
      </c>
      <c r="C183" s="28" t="s">
        <v>331</v>
      </c>
      <c r="D183" s="29">
        <v>2</v>
      </c>
      <c r="E183" s="30">
        <v>3000</v>
      </c>
      <c r="F183" s="3">
        <f t="shared" si="14"/>
        <v>6000</v>
      </c>
      <c r="G183" s="316">
        <f>F183*$C$4</f>
        <v>8448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/>
      <c r="T183" s="231"/>
      <c r="U183" s="225"/>
      <c r="V183" s="225"/>
      <c r="W183" s="231"/>
      <c r="X183" s="231"/>
    </row>
    <row r="184" spans="1:24" ht="26.4" x14ac:dyDescent="0.25">
      <c r="A184" s="157" t="s">
        <v>799</v>
      </c>
      <c r="B184" s="140" t="s">
        <v>366</v>
      </c>
      <c r="C184" s="28" t="s">
        <v>331</v>
      </c>
      <c r="D184" s="29">
        <v>8</v>
      </c>
      <c r="E184" s="30">
        <v>1000</v>
      </c>
      <c r="F184" s="3">
        <f t="shared" si="14"/>
        <v>8000</v>
      </c>
      <c r="G184" s="316">
        <f>F184*$C$4</f>
        <v>11264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/>
      <c r="T184" s="231"/>
      <c r="U184" s="225"/>
      <c r="V184" s="225"/>
      <c r="W184" s="231"/>
      <c r="X184" s="231"/>
    </row>
    <row r="185" spans="1:24" ht="26.4" x14ac:dyDescent="0.25">
      <c r="A185" s="157" t="s">
        <v>800</v>
      </c>
      <c r="B185" s="140" t="s">
        <v>801</v>
      </c>
      <c r="C185" s="28" t="s">
        <v>331</v>
      </c>
      <c r="D185" s="29">
        <v>12</v>
      </c>
      <c r="E185" s="30">
        <v>300</v>
      </c>
      <c r="F185" s="3">
        <f t="shared" si="14"/>
        <v>3600</v>
      </c>
      <c r="G185" s="316">
        <f>F185*$C$4</f>
        <v>5068.7999999999993</v>
      </c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62"/>
      <c r="S185" s="225"/>
      <c r="T185" s="231"/>
      <c r="U185" s="225"/>
      <c r="V185" s="225"/>
      <c r="W185" s="231"/>
      <c r="X185" s="231"/>
    </row>
    <row r="186" spans="1:24" x14ac:dyDescent="0.25">
      <c r="B186" s="109"/>
      <c r="C186" s="80"/>
      <c r="D186" s="71"/>
      <c r="E186" s="72"/>
      <c r="G186" s="48"/>
      <c r="H186" s="245"/>
      <c r="I186" s="245"/>
      <c r="J186" s="245"/>
      <c r="K186" s="245"/>
      <c r="L186" s="245"/>
      <c r="M186" s="245"/>
      <c r="N186" s="245"/>
      <c r="O186" s="245"/>
      <c r="P186" s="245"/>
      <c r="Q186" s="254"/>
      <c r="R186" s="261"/>
      <c r="S186" s="225"/>
      <c r="T186" s="231"/>
      <c r="U186" s="225"/>
      <c r="V186" s="225"/>
      <c r="W186" s="231"/>
      <c r="X186" s="231"/>
    </row>
    <row r="187" spans="1:24" ht="13.8" thickBot="1" x14ac:dyDescent="0.3">
      <c r="A187" s="99"/>
      <c r="B187" s="146" t="s">
        <v>108</v>
      </c>
      <c r="C187" s="118"/>
      <c r="D187" s="122"/>
      <c r="E187" s="123"/>
      <c r="F187" s="50">
        <f>SUM(F174:F185)</f>
        <v>84020</v>
      </c>
      <c r="G187" s="50">
        <f>SUM(G174:G185)</f>
        <v>118300.16</v>
      </c>
      <c r="H187" s="244"/>
      <c r="I187" s="244"/>
      <c r="J187" s="244"/>
      <c r="K187" s="244"/>
      <c r="L187" s="244"/>
      <c r="M187" s="244"/>
      <c r="N187" s="244"/>
      <c r="O187" s="244"/>
      <c r="P187" s="244"/>
      <c r="Q187" s="253"/>
      <c r="R187" s="263"/>
      <c r="S187" s="237">
        <f t="shared" si="9"/>
        <v>-84020</v>
      </c>
      <c r="T187" s="238">
        <f t="shared" si="10"/>
        <v>-1</v>
      </c>
      <c r="U187" s="237">
        <f t="shared" si="11"/>
        <v>0</v>
      </c>
      <c r="V187" s="237">
        <f t="shared" si="12"/>
        <v>-118300.16</v>
      </c>
      <c r="W187" s="238">
        <f t="shared" si="13"/>
        <v>-1</v>
      </c>
      <c r="X187" s="238"/>
    </row>
    <row r="188" spans="1:24" ht="13.8" thickTop="1" x14ac:dyDescent="0.25">
      <c r="B188" s="77"/>
      <c r="C188" s="162"/>
      <c r="D188" s="161"/>
      <c r="E188" s="74"/>
      <c r="F188" s="48"/>
      <c r="G188" s="1"/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57"/>
      <c r="S188" s="225"/>
      <c r="T188" s="231"/>
      <c r="U188" s="225"/>
      <c r="V188" s="225"/>
      <c r="W188" s="231"/>
      <c r="X188" s="231"/>
    </row>
    <row r="189" spans="1:24" x14ac:dyDescent="0.25">
      <c r="A189" s="125">
        <v>4</v>
      </c>
      <c r="B189" s="126" t="s">
        <v>107</v>
      </c>
      <c r="C189" s="130"/>
      <c r="D189" s="129"/>
      <c r="E189" s="131"/>
      <c r="F189" s="131"/>
      <c r="G189" s="147"/>
      <c r="H189" s="241"/>
      <c r="I189" s="241"/>
      <c r="J189" s="241"/>
      <c r="K189" s="241"/>
      <c r="L189" s="241"/>
      <c r="M189" s="241"/>
      <c r="N189" s="241"/>
      <c r="O189" s="241"/>
      <c r="P189" s="241"/>
      <c r="Q189" s="252"/>
      <c r="R189" s="260"/>
      <c r="S189" s="230"/>
      <c r="T189" s="232"/>
      <c r="U189" s="230"/>
      <c r="V189" s="230"/>
      <c r="W189" s="232"/>
      <c r="X189" s="232"/>
    </row>
    <row r="190" spans="1:24" x14ac:dyDescent="0.25">
      <c r="A190" s="70" t="s">
        <v>19</v>
      </c>
      <c r="B190" s="77"/>
      <c r="C190" s="162"/>
      <c r="D190" s="161"/>
      <c r="E190" s="74"/>
      <c r="F190" s="48"/>
      <c r="G190" s="1"/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57"/>
      <c r="S190" s="225"/>
      <c r="T190" s="231"/>
      <c r="U190" s="225"/>
      <c r="V190" s="225"/>
      <c r="W190" s="231"/>
      <c r="X190" s="231"/>
    </row>
    <row r="191" spans="1:24" x14ac:dyDescent="0.25">
      <c r="A191" s="77" t="s">
        <v>142</v>
      </c>
      <c r="B191" s="163" t="s">
        <v>44</v>
      </c>
      <c r="C191" s="21"/>
      <c r="D191" s="25"/>
      <c r="E191" s="18"/>
      <c r="F191" s="48">
        <f>D191*E191</f>
        <v>0</v>
      </c>
      <c r="G191" s="1">
        <f>F191*C4</f>
        <v>0</v>
      </c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62"/>
      <c r="S191" s="225">
        <f t="shared" si="9"/>
        <v>0</v>
      </c>
      <c r="T191" s="231">
        <f t="shared" si="10"/>
        <v>0</v>
      </c>
      <c r="U191" s="225">
        <f t="shared" si="11"/>
        <v>0</v>
      </c>
      <c r="V191" s="225">
        <f t="shared" si="12"/>
        <v>0</v>
      </c>
      <c r="W191" s="231">
        <f t="shared" si="13"/>
        <v>0</v>
      </c>
      <c r="X191" s="231"/>
    </row>
    <row r="192" spans="1:24" ht="26.4" x14ac:dyDescent="0.25">
      <c r="A192" s="77" t="s">
        <v>143</v>
      </c>
      <c r="B192" s="163" t="s">
        <v>368</v>
      </c>
      <c r="C192" s="283" t="s">
        <v>322</v>
      </c>
      <c r="D192" s="284">
        <v>12</v>
      </c>
      <c r="E192" s="285">
        <v>400</v>
      </c>
      <c r="F192" s="48">
        <f>D192*E192</f>
        <v>4800</v>
      </c>
      <c r="G192" s="1">
        <f>F192*C4</f>
        <v>6758.4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62"/>
      <c r="S192" s="225">
        <f t="shared" si="9"/>
        <v>-4800</v>
      </c>
      <c r="T192" s="231">
        <f t="shared" si="10"/>
        <v>-1</v>
      </c>
      <c r="U192" s="225">
        <f t="shared" si="11"/>
        <v>0</v>
      </c>
      <c r="V192" s="225">
        <f t="shared" si="12"/>
        <v>-6758.4</v>
      </c>
      <c r="W192" s="231">
        <f t="shared" si="13"/>
        <v>-1</v>
      </c>
      <c r="X192" s="231"/>
    </row>
    <row r="193" spans="1:24" x14ac:dyDescent="0.25">
      <c r="A193" s="70" t="s">
        <v>7</v>
      </c>
      <c r="B193" s="137"/>
      <c r="C193" s="22"/>
      <c r="D193" s="44"/>
      <c r="E193" s="14"/>
      <c r="F193" s="48"/>
      <c r="G193" s="1"/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57"/>
      <c r="S193" s="225"/>
      <c r="T193" s="231"/>
      <c r="U193" s="225"/>
      <c r="V193" s="225"/>
      <c r="W193" s="231"/>
      <c r="X193" s="231"/>
    </row>
    <row r="194" spans="1:24" x14ac:dyDescent="0.25">
      <c r="A194" s="77" t="s">
        <v>144</v>
      </c>
      <c r="B194" s="163" t="s">
        <v>46</v>
      </c>
      <c r="C194" s="35"/>
      <c r="D194" s="36"/>
      <c r="E194" s="39"/>
      <c r="F194" s="48">
        <f>D194*E194</f>
        <v>0</v>
      </c>
      <c r="G194" s="49">
        <f>F194*C4</f>
        <v>0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62"/>
      <c r="S194" s="225">
        <f t="shared" si="9"/>
        <v>0</v>
      </c>
      <c r="T194" s="231">
        <f t="shared" si="10"/>
        <v>0</v>
      </c>
      <c r="U194" s="225">
        <f t="shared" si="11"/>
        <v>0</v>
      </c>
      <c r="V194" s="225">
        <f t="shared" si="12"/>
        <v>0</v>
      </c>
      <c r="W194" s="231">
        <f t="shared" si="13"/>
        <v>0</v>
      </c>
      <c r="X194" s="231"/>
    </row>
    <row r="195" spans="1:24" x14ac:dyDescent="0.25">
      <c r="A195" s="77" t="s">
        <v>145</v>
      </c>
      <c r="B195" s="137" t="s">
        <v>47</v>
      </c>
      <c r="C195" s="35"/>
      <c r="D195" s="36"/>
      <c r="E195" s="39"/>
      <c r="F195" s="48">
        <f>D195*E195</f>
        <v>0</v>
      </c>
      <c r="G195" s="49">
        <f>F195*C4</f>
        <v>0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62"/>
      <c r="S195" s="225">
        <f t="shared" si="9"/>
        <v>0</v>
      </c>
      <c r="T195" s="231">
        <f t="shared" si="10"/>
        <v>0</v>
      </c>
      <c r="U195" s="225">
        <f t="shared" si="11"/>
        <v>0</v>
      </c>
      <c r="V195" s="225">
        <f t="shared" si="12"/>
        <v>0</v>
      </c>
      <c r="W195" s="231">
        <f t="shared" si="13"/>
        <v>0</v>
      </c>
      <c r="X195" s="231"/>
    </row>
    <row r="196" spans="1:24" x14ac:dyDescent="0.25">
      <c r="A196" s="70" t="s">
        <v>8</v>
      </c>
      <c r="B196" s="137"/>
      <c r="C196" s="52"/>
      <c r="D196" s="23"/>
      <c r="E196" s="24"/>
      <c r="F196" s="48"/>
      <c r="G196" s="1"/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57"/>
      <c r="S196" s="225"/>
      <c r="T196" s="231"/>
      <c r="U196" s="225"/>
      <c r="V196" s="225"/>
      <c r="W196" s="231"/>
      <c r="X196" s="231"/>
    </row>
    <row r="197" spans="1:24" x14ac:dyDescent="0.25">
      <c r="A197" s="77" t="s">
        <v>150</v>
      </c>
      <c r="B197" s="140" t="s">
        <v>181</v>
      </c>
      <c r="C197" s="35"/>
      <c r="D197" s="36"/>
      <c r="E197" s="39"/>
      <c r="F197" s="48">
        <f>D197*E197</f>
        <v>0</v>
      </c>
      <c r="G197" s="1">
        <f>F197*C4</f>
        <v>0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62"/>
      <c r="S197" s="225">
        <f t="shared" si="9"/>
        <v>0</v>
      </c>
      <c r="T197" s="231">
        <f t="shared" si="10"/>
        <v>0</v>
      </c>
      <c r="U197" s="225">
        <f t="shared" si="11"/>
        <v>0</v>
      </c>
      <c r="V197" s="225">
        <f t="shared" si="12"/>
        <v>0</v>
      </c>
      <c r="W197" s="231">
        <f t="shared" si="13"/>
        <v>0</v>
      </c>
      <c r="X197" s="231"/>
    </row>
    <row r="198" spans="1:24" x14ac:dyDescent="0.25">
      <c r="A198" s="77" t="s">
        <v>146</v>
      </c>
      <c r="B198" s="149" t="s">
        <v>50</v>
      </c>
      <c r="C198" s="35"/>
      <c r="D198" s="36"/>
      <c r="E198" s="39"/>
      <c r="F198" s="48">
        <f>D198*E198</f>
        <v>0</v>
      </c>
      <c r="G198" s="1">
        <f>F198*C4</f>
        <v>0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9"/>
        <v>0</v>
      </c>
      <c r="T198" s="231">
        <f t="shared" si="10"/>
        <v>0</v>
      </c>
      <c r="U198" s="225">
        <f t="shared" si="11"/>
        <v>0</v>
      </c>
      <c r="V198" s="225">
        <f t="shared" si="12"/>
        <v>0</v>
      </c>
      <c r="W198" s="231">
        <f t="shared" si="13"/>
        <v>0</v>
      </c>
      <c r="X198" s="231"/>
    </row>
    <row r="199" spans="1:24" x14ac:dyDescent="0.25">
      <c r="A199" s="77" t="s">
        <v>147</v>
      </c>
      <c r="B199" s="149" t="s">
        <v>51</v>
      </c>
      <c r="C199" s="35"/>
      <c r="D199" s="36"/>
      <c r="E199" s="37"/>
      <c r="F199" s="48">
        <f>D199*E199</f>
        <v>0</v>
      </c>
      <c r="G199" s="1">
        <f>F199*C4</f>
        <v>0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9"/>
        <v>0</v>
      </c>
      <c r="T199" s="231">
        <f t="shared" si="10"/>
        <v>0</v>
      </c>
      <c r="U199" s="225">
        <f t="shared" si="11"/>
        <v>0</v>
      </c>
      <c r="V199" s="225">
        <f t="shared" si="12"/>
        <v>0</v>
      </c>
      <c r="W199" s="231">
        <f t="shared" si="13"/>
        <v>0</v>
      </c>
      <c r="X199" s="231"/>
    </row>
    <row r="200" spans="1:24" x14ac:dyDescent="0.25">
      <c r="A200" s="77" t="s">
        <v>148</v>
      </c>
      <c r="B200" s="149" t="s">
        <v>125</v>
      </c>
      <c r="C200" s="35"/>
      <c r="D200" s="36"/>
      <c r="E200" s="38"/>
      <c r="F200" s="48">
        <f>D200*E200</f>
        <v>0</v>
      </c>
      <c r="G200" s="1">
        <f>F200*C4</f>
        <v>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62"/>
      <c r="S200" s="225">
        <f t="shared" si="9"/>
        <v>0</v>
      </c>
      <c r="T200" s="231">
        <f t="shared" si="10"/>
        <v>0</v>
      </c>
      <c r="U200" s="225">
        <f t="shared" si="11"/>
        <v>0</v>
      </c>
      <c r="V200" s="225">
        <f t="shared" si="12"/>
        <v>0</v>
      </c>
      <c r="W200" s="231">
        <f t="shared" si="13"/>
        <v>0</v>
      </c>
      <c r="X200" s="231"/>
    </row>
    <row r="201" spans="1:24" x14ac:dyDescent="0.25">
      <c r="A201" s="77" t="s">
        <v>149</v>
      </c>
      <c r="B201" s="149" t="s">
        <v>126</v>
      </c>
      <c r="C201" s="35"/>
      <c r="D201" s="36"/>
      <c r="E201" s="38"/>
      <c r="F201" s="48">
        <f>D201*E201</f>
        <v>0</v>
      </c>
      <c r="G201" s="1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9"/>
        <v>0</v>
      </c>
      <c r="T201" s="231">
        <f t="shared" si="10"/>
        <v>0</v>
      </c>
      <c r="U201" s="225">
        <f t="shared" si="11"/>
        <v>0</v>
      </c>
      <c r="V201" s="225">
        <f t="shared" si="12"/>
        <v>0</v>
      </c>
      <c r="W201" s="231">
        <f t="shared" si="13"/>
        <v>0</v>
      </c>
      <c r="X201" s="231"/>
    </row>
    <row r="202" spans="1:24" x14ac:dyDescent="0.25">
      <c r="C202" s="5"/>
      <c r="D202" s="5"/>
      <c r="E202" s="5"/>
      <c r="F202" s="168"/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57"/>
      <c r="S202" s="225"/>
      <c r="T202" s="231"/>
      <c r="U202" s="225"/>
      <c r="V202" s="225"/>
      <c r="W202" s="231"/>
      <c r="X202" s="231"/>
    </row>
    <row r="203" spans="1:24" x14ac:dyDescent="0.25">
      <c r="A203" s="200"/>
      <c r="B203" s="201" t="s">
        <v>188</v>
      </c>
      <c r="C203" s="201"/>
      <c r="D203" s="201"/>
      <c r="E203" s="201"/>
      <c r="F203" s="202">
        <f>SUM(F191:F193)</f>
        <v>4800</v>
      </c>
      <c r="G203" s="201">
        <f>SUM(G191:G193)</f>
        <v>6758.4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57"/>
      <c r="S203" s="225">
        <f t="shared" si="9"/>
        <v>-4800</v>
      </c>
      <c r="T203" s="231">
        <f t="shared" si="10"/>
        <v>-1</v>
      </c>
      <c r="U203" s="225">
        <f t="shared" si="11"/>
        <v>0</v>
      </c>
      <c r="V203" s="225">
        <f t="shared" si="12"/>
        <v>-6758.4</v>
      </c>
      <c r="W203" s="231">
        <f t="shared" si="13"/>
        <v>-1</v>
      </c>
      <c r="X203" s="231"/>
    </row>
    <row r="204" spans="1:24" x14ac:dyDescent="0.25">
      <c r="A204" s="200"/>
      <c r="B204" s="201" t="s">
        <v>7</v>
      </c>
      <c r="C204" s="201"/>
      <c r="D204" s="201"/>
      <c r="E204" s="201"/>
      <c r="F204" s="202">
        <f>SUM(F194:F196)</f>
        <v>0</v>
      </c>
      <c r="G204" s="201">
        <f>SUM(G194:G196)</f>
        <v>0</v>
      </c>
      <c r="H204" s="242"/>
      <c r="I204" s="242"/>
      <c r="J204" s="242"/>
      <c r="K204" s="242"/>
      <c r="L204" s="242"/>
      <c r="M204" s="242"/>
      <c r="N204" s="242"/>
      <c r="O204" s="242"/>
      <c r="P204" s="242"/>
      <c r="Q204" s="251"/>
      <c r="R204" s="257"/>
      <c r="S204" s="225">
        <f t="shared" si="9"/>
        <v>0</v>
      </c>
      <c r="T204" s="231">
        <f t="shared" si="10"/>
        <v>0</v>
      </c>
      <c r="U204" s="225">
        <f t="shared" si="11"/>
        <v>0</v>
      </c>
      <c r="V204" s="225">
        <f t="shared" si="12"/>
        <v>0</v>
      </c>
      <c r="W204" s="231">
        <f t="shared" si="13"/>
        <v>0</v>
      </c>
      <c r="X204" s="231"/>
    </row>
    <row r="205" spans="1:24" x14ac:dyDescent="0.25">
      <c r="A205" s="200"/>
      <c r="B205" s="201" t="s">
        <v>8</v>
      </c>
      <c r="C205" s="201"/>
      <c r="D205" s="201"/>
      <c r="E205" s="201"/>
      <c r="F205" s="202">
        <f>SUM(F197:F202)</f>
        <v>0</v>
      </c>
      <c r="G205" s="201">
        <f>SUM(G197:G202)</f>
        <v>0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57"/>
      <c r="S205" s="225">
        <f t="shared" si="9"/>
        <v>0</v>
      </c>
      <c r="T205" s="231">
        <f t="shared" si="10"/>
        <v>0</v>
      </c>
      <c r="U205" s="225">
        <f t="shared" si="11"/>
        <v>0</v>
      </c>
      <c r="V205" s="225">
        <f t="shared" si="12"/>
        <v>0</v>
      </c>
      <c r="W205" s="231">
        <f t="shared" si="13"/>
        <v>0</v>
      </c>
      <c r="X205" s="231"/>
    </row>
    <row r="206" spans="1:24" ht="13.8" thickBot="1" x14ac:dyDescent="0.3">
      <c r="A206" s="99"/>
      <c r="B206" s="146" t="s">
        <v>109</v>
      </c>
      <c r="C206" s="118"/>
      <c r="D206" s="122"/>
      <c r="E206" s="123"/>
      <c r="F206" s="50">
        <f>SUM(F191+F192+F194+F195+F197+F198+F199+F200+F201)</f>
        <v>4800</v>
      </c>
      <c r="G206" s="50">
        <f>SUM(G191+G192+G194+G195+G197+G199+G198+G200+G201)</f>
        <v>6758.4</v>
      </c>
      <c r="H206" s="244"/>
      <c r="I206" s="244"/>
      <c r="J206" s="244"/>
      <c r="K206" s="244"/>
      <c r="L206" s="244"/>
      <c r="M206" s="244"/>
      <c r="N206" s="244"/>
      <c r="O206" s="244"/>
      <c r="P206" s="244"/>
      <c r="Q206" s="253"/>
      <c r="R206" s="263"/>
      <c r="S206" s="237">
        <f t="shared" si="9"/>
        <v>-4800</v>
      </c>
      <c r="T206" s="238">
        <f t="shared" si="10"/>
        <v>-1</v>
      </c>
      <c r="U206" s="237">
        <f t="shared" si="11"/>
        <v>0</v>
      </c>
      <c r="V206" s="237">
        <f t="shared" si="12"/>
        <v>-6758.4</v>
      </c>
      <c r="W206" s="238">
        <f t="shared" si="13"/>
        <v>-1</v>
      </c>
      <c r="X206" s="238"/>
    </row>
    <row r="207" spans="1:24" ht="13.8" thickTop="1" x14ac:dyDescent="0.25">
      <c r="A207" s="99"/>
      <c r="B207" s="146"/>
      <c r="C207" s="118"/>
      <c r="D207" s="122"/>
      <c r="E207" s="123"/>
      <c r="F207" s="169"/>
      <c r="G207" s="169"/>
      <c r="H207" s="244"/>
      <c r="I207" s="244"/>
      <c r="J207" s="244"/>
      <c r="K207" s="244"/>
      <c r="L207" s="244"/>
      <c r="M207" s="244"/>
      <c r="N207" s="244"/>
      <c r="O207" s="244"/>
      <c r="P207" s="244"/>
      <c r="Q207" s="253"/>
      <c r="R207" s="259"/>
      <c r="S207" s="225"/>
      <c r="T207" s="231"/>
      <c r="U207" s="225"/>
      <c r="V207" s="225"/>
      <c r="W207" s="231"/>
      <c r="X207" s="231"/>
    </row>
    <row r="208" spans="1:24" x14ac:dyDescent="0.25">
      <c r="A208" s="125">
        <v>5</v>
      </c>
      <c r="B208" s="126" t="s">
        <v>111</v>
      </c>
      <c r="C208" s="130"/>
      <c r="D208" s="129"/>
      <c r="E208" s="131"/>
      <c r="F208" s="131"/>
      <c r="G208" s="147"/>
      <c r="H208" s="241"/>
      <c r="I208" s="241"/>
      <c r="J208" s="241"/>
      <c r="K208" s="241"/>
      <c r="L208" s="241"/>
      <c r="M208" s="241"/>
      <c r="N208" s="241"/>
      <c r="O208" s="241"/>
      <c r="P208" s="241"/>
      <c r="Q208" s="252"/>
      <c r="R208" s="260"/>
      <c r="S208" s="230"/>
      <c r="T208" s="232"/>
      <c r="U208" s="230"/>
      <c r="V208" s="230"/>
      <c r="W208" s="232"/>
      <c r="X208" s="232"/>
    </row>
    <row r="209" spans="1:24" x14ac:dyDescent="0.25">
      <c r="A209" s="77" t="s">
        <v>151</v>
      </c>
      <c r="B209" s="163" t="s">
        <v>11</v>
      </c>
      <c r="C209" s="35"/>
      <c r="D209" s="36"/>
      <c r="E209" s="39"/>
      <c r="F209" s="48">
        <f>D209*E209</f>
        <v>0</v>
      </c>
      <c r="G209" s="49">
        <f>F209*C4</f>
        <v>0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9"/>
        <v>0</v>
      </c>
      <c r="T209" s="231">
        <f t="shared" si="10"/>
        <v>0</v>
      </c>
      <c r="U209" s="225">
        <f t="shared" si="11"/>
        <v>0</v>
      </c>
      <c r="V209" s="225">
        <f t="shared" si="12"/>
        <v>0</v>
      </c>
      <c r="W209" s="231">
        <f t="shared" si="13"/>
        <v>0</v>
      </c>
      <c r="X209" s="231"/>
    </row>
    <row r="210" spans="1:24" x14ac:dyDescent="0.25">
      <c r="A210" s="77" t="s">
        <v>152</v>
      </c>
      <c r="B210" s="163" t="s">
        <v>12</v>
      </c>
      <c r="C210" s="35"/>
      <c r="D210" s="36"/>
      <c r="E210" s="39"/>
      <c r="F210" s="48">
        <f>D210*E210</f>
        <v>0</v>
      </c>
      <c r="G210" s="49">
        <f>F210*C4</f>
        <v>0</v>
      </c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62"/>
      <c r="S210" s="225">
        <f t="shared" si="9"/>
        <v>0</v>
      </c>
      <c r="T210" s="231">
        <f t="shared" si="10"/>
        <v>0</v>
      </c>
      <c r="U210" s="225">
        <f t="shared" si="11"/>
        <v>0</v>
      </c>
      <c r="V210" s="225">
        <f t="shared" si="12"/>
        <v>0</v>
      </c>
      <c r="W210" s="231">
        <f t="shared" si="13"/>
        <v>0</v>
      </c>
      <c r="X210" s="231"/>
    </row>
    <row r="211" spans="1:24" x14ac:dyDescent="0.25">
      <c r="A211" s="77" t="s">
        <v>153</v>
      </c>
      <c r="B211" s="163" t="s">
        <v>13</v>
      </c>
      <c r="C211" s="35"/>
      <c r="D211" s="36"/>
      <c r="E211" s="39"/>
      <c r="F211" s="48">
        <f>D211*E211</f>
        <v>0</v>
      </c>
      <c r="G211" s="49">
        <f>F211*C4</f>
        <v>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si="9"/>
        <v>0</v>
      </c>
      <c r="T211" s="231">
        <f t="shared" si="10"/>
        <v>0</v>
      </c>
      <c r="U211" s="225">
        <f t="shared" si="11"/>
        <v>0</v>
      </c>
      <c r="V211" s="225">
        <f t="shared" si="12"/>
        <v>0</v>
      </c>
      <c r="W211" s="231">
        <f t="shared" si="13"/>
        <v>0</v>
      </c>
      <c r="X211" s="231"/>
    </row>
    <row r="212" spans="1:24" x14ac:dyDescent="0.25">
      <c r="A212" s="77" t="s">
        <v>154</v>
      </c>
      <c r="B212" s="163" t="s">
        <v>14</v>
      </c>
      <c r="C212" s="35"/>
      <c r="D212" s="36"/>
      <c r="E212" s="39"/>
      <c r="F212" s="48">
        <f>D212*E212</f>
        <v>0</v>
      </c>
      <c r="G212" s="49">
        <f>F212*C4</f>
        <v>0</v>
      </c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62"/>
      <c r="S212" s="225">
        <f t="shared" si="9"/>
        <v>0</v>
      </c>
      <c r="T212" s="231">
        <f t="shared" si="10"/>
        <v>0</v>
      </c>
      <c r="U212" s="225">
        <f t="shared" si="11"/>
        <v>0</v>
      </c>
      <c r="V212" s="225">
        <f t="shared" si="12"/>
        <v>0</v>
      </c>
      <c r="W212" s="231">
        <f t="shared" si="13"/>
        <v>0</v>
      </c>
      <c r="X212" s="231"/>
    </row>
    <row r="213" spans="1:24" ht="39.6" x14ac:dyDescent="0.25">
      <c r="A213" s="77" t="s">
        <v>155</v>
      </c>
      <c r="B213" s="163" t="s">
        <v>56</v>
      </c>
      <c r="C213" s="358" t="s">
        <v>364</v>
      </c>
      <c r="D213" s="36">
        <v>1</v>
      </c>
      <c r="E213" s="39">
        <v>1850</v>
      </c>
      <c r="F213" s="3">
        <f>D213*E213</f>
        <v>1850</v>
      </c>
      <c r="G213" s="295">
        <f>F213*C4</f>
        <v>2604.7999999999997</v>
      </c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62"/>
      <c r="S213" s="225">
        <f t="shared" si="9"/>
        <v>-1850</v>
      </c>
      <c r="T213" s="231">
        <f t="shared" si="10"/>
        <v>-1</v>
      </c>
      <c r="U213" s="225">
        <f t="shared" si="11"/>
        <v>0</v>
      </c>
      <c r="V213" s="225">
        <f t="shared" si="12"/>
        <v>-2604.7999999999997</v>
      </c>
      <c r="W213" s="231">
        <f t="shared" si="13"/>
        <v>-1</v>
      </c>
      <c r="X213" s="231"/>
    </row>
    <row r="214" spans="1:24" x14ac:dyDescent="0.25">
      <c r="B214" s="163"/>
      <c r="C214" s="6"/>
      <c r="D214" s="7"/>
      <c r="E214" s="8"/>
      <c r="F214" s="48"/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57"/>
      <c r="S214" s="225"/>
      <c r="T214" s="231"/>
      <c r="U214" s="225"/>
      <c r="V214" s="225"/>
      <c r="W214" s="231"/>
      <c r="X214" s="231"/>
    </row>
    <row r="215" spans="1:24" ht="13.8" thickBot="1" x14ac:dyDescent="0.3">
      <c r="A215" s="99"/>
      <c r="B215" s="146" t="s">
        <v>112</v>
      </c>
      <c r="C215" s="118"/>
      <c r="D215" s="122"/>
      <c r="E215" s="123"/>
      <c r="F215" s="50">
        <f>SUM(F209:F213)</f>
        <v>1850</v>
      </c>
      <c r="G215" s="50">
        <f>SUM(G209:G213)</f>
        <v>2604.7999999999997</v>
      </c>
      <c r="H215" s="244"/>
      <c r="I215" s="244"/>
      <c r="J215" s="244"/>
      <c r="K215" s="244"/>
      <c r="L215" s="244"/>
      <c r="M215" s="244"/>
      <c r="N215" s="244"/>
      <c r="O215" s="244"/>
      <c r="P215" s="244"/>
      <c r="Q215" s="253"/>
      <c r="R215" s="263"/>
      <c r="S215" s="237">
        <f t="shared" si="9"/>
        <v>-1850</v>
      </c>
      <c r="T215" s="238">
        <f t="shared" si="10"/>
        <v>-1</v>
      </c>
      <c r="U215" s="237">
        <f t="shared" si="11"/>
        <v>0</v>
      </c>
      <c r="V215" s="237">
        <f t="shared" si="12"/>
        <v>-2604.7999999999997</v>
      </c>
      <c r="W215" s="238">
        <f t="shared" si="13"/>
        <v>-1</v>
      </c>
      <c r="X215" s="238"/>
    </row>
    <row r="216" spans="1:24" ht="22.5" customHeight="1" thickTop="1" x14ac:dyDescent="0.25">
      <c r="B216" s="163"/>
      <c r="F216" s="48"/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57"/>
      <c r="S216" s="225"/>
      <c r="T216" s="231"/>
      <c r="U216" s="225"/>
      <c r="V216" s="225"/>
      <c r="W216" s="231"/>
      <c r="X216" s="231"/>
    </row>
    <row r="217" spans="1:24" x14ac:dyDescent="0.25">
      <c r="A217" s="125">
        <v>6</v>
      </c>
      <c r="B217" s="126" t="s">
        <v>113</v>
      </c>
      <c r="C217" s="130"/>
      <c r="D217" s="129"/>
      <c r="E217" s="131"/>
      <c r="F217" s="131"/>
      <c r="G217" s="147"/>
      <c r="H217" s="241"/>
      <c r="I217" s="241"/>
      <c r="J217" s="241"/>
      <c r="K217" s="241"/>
      <c r="L217" s="241"/>
      <c r="M217" s="241"/>
      <c r="N217" s="241"/>
      <c r="O217" s="241"/>
      <c r="P217" s="241"/>
      <c r="Q217" s="252"/>
      <c r="R217" s="260"/>
      <c r="S217" s="230"/>
      <c r="T217" s="232"/>
      <c r="U217" s="230"/>
      <c r="V217" s="230"/>
      <c r="W217" s="232"/>
      <c r="X217" s="232"/>
    </row>
    <row r="218" spans="1:24" x14ac:dyDescent="0.25">
      <c r="A218" s="99" t="s">
        <v>114</v>
      </c>
      <c r="B218" s="99" t="s">
        <v>71</v>
      </c>
      <c r="C218" s="2"/>
      <c r="D218" s="142"/>
      <c r="E218" s="143"/>
      <c r="F218" s="3"/>
      <c r="G218" s="53"/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56"/>
      <c r="S218" s="225"/>
      <c r="T218" s="231"/>
      <c r="U218" s="225"/>
      <c r="V218" s="225"/>
      <c r="W218" s="231"/>
      <c r="X218" s="231"/>
    </row>
    <row r="219" spans="1:24" x14ac:dyDescent="0.25">
      <c r="A219" s="109" t="s">
        <v>115</v>
      </c>
      <c r="B219" s="170" t="s">
        <v>72</v>
      </c>
      <c r="C219" s="35"/>
      <c r="D219" s="36"/>
      <c r="E219" s="39"/>
      <c r="F219" s="3">
        <f>D219*E219</f>
        <v>0</v>
      </c>
      <c r="G219" s="53">
        <f>F219*C4</f>
        <v>0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 t="shared" si="9"/>
        <v>0</v>
      </c>
      <c r="T219" s="231">
        <f t="shared" si="10"/>
        <v>0</v>
      </c>
      <c r="U219" s="225">
        <f t="shared" si="11"/>
        <v>0</v>
      </c>
      <c r="V219" s="225">
        <f t="shared" si="12"/>
        <v>0</v>
      </c>
      <c r="W219" s="231">
        <f t="shared" si="13"/>
        <v>0</v>
      </c>
      <c r="X219" s="231"/>
    </row>
    <row r="220" spans="1:24" x14ac:dyDescent="0.25">
      <c r="A220" s="109" t="s">
        <v>116</v>
      </c>
      <c r="B220" s="170" t="s">
        <v>73</v>
      </c>
      <c r="C220" s="35"/>
      <c r="D220" s="36"/>
      <c r="E220" s="39"/>
      <c r="F220" s="3">
        <f>D220*E220</f>
        <v>0</v>
      </c>
      <c r="G220" s="53">
        <f>F220*C4</f>
        <v>0</v>
      </c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62"/>
      <c r="S220" s="225">
        <f t="shared" si="9"/>
        <v>0</v>
      </c>
      <c r="T220" s="231">
        <f t="shared" si="10"/>
        <v>0</v>
      </c>
      <c r="U220" s="225">
        <f t="shared" si="11"/>
        <v>0</v>
      </c>
      <c r="V220" s="225">
        <f t="shared" si="12"/>
        <v>0</v>
      </c>
      <c r="W220" s="231">
        <f t="shared" si="13"/>
        <v>0</v>
      </c>
      <c r="X220" s="231"/>
    </row>
    <row r="221" spans="1:24" x14ac:dyDescent="0.25">
      <c r="A221" s="109" t="s">
        <v>117</v>
      </c>
      <c r="B221" s="170" t="s">
        <v>74</v>
      </c>
      <c r="C221" s="35"/>
      <c r="D221" s="36"/>
      <c r="E221" s="39"/>
      <c r="F221" s="3">
        <f>D221*E221</f>
        <v>0</v>
      </c>
      <c r="G221" s="53">
        <f>F221*C4</f>
        <v>0</v>
      </c>
      <c r="H221" s="242"/>
      <c r="I221" s="242"/>
      <c r="J221" s="242"/>
      <c r="K221" s="242"/>
      <c r="L221" s="242"/>
      <c r="M221" s="242"/>
      <c r="N221" s="242"/>
      <c r="O221" s="242"/>
      <c r="P221" s="242"/>
      <c r="Q221" s="251"/>
      <c r="R221" s="262"/>
      <c r="S221" s="225">
        <f>R221-F221</f>
        <v>0</v>
      </c>
      <c r="T221" s="231">
        <f>IF(F221=0,0,S221/F221)</f>
        <v>0</v>
      </c>
      <c r="U221" s="225">
        <f t="shared" ref="U221:U264" si="15">R221*$C$4</f>
        <v>0</v>
      </c>
      <c r="V221" s="225">
        <f t="shared" ref="V221:V264" si="16">U221-G221</f>
        <v>0</v>
      </c>
      <c r="W221" s="231">
        <f t="shared" ref="W221:W264" si="17">IF(G221=0,0,V221/G221)</f>
        <v>0</v>
      </c>
      <c r="X221" s="231"/>
    </row>
    <row r="222" spans="1:24" x14ac:dyDescent="0.25">
      <c r="A222" s="109" t="s">
        <v>118</v>
      </c>
      <c r="B222" s="170" t="s">
        <v>75</v>
      </c>
      <c r="C222" s="35"/>
      <c r="D222" s="36"/>
      <c r="E222" s="39"/>
      <c r="F222" s="3">
        <f>D222*E222</f>
        <v>0</v>
      </c>
      <c r="G222" s="53">
        <f>F222*C4</f>
        <v>0</v>
      </c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62"/>
      <c r="S222" s="225">
        <f>R222-F222</f>
        <v>0</v>
      </c>
      <c r="T222" s="231">
        <f>IF(F222=0,0,S222/F222)</f>
        <v>0</v>
      </c>
      <c r="U222" s="225">
        <f t="shared" si="15"/>
        <v>0</v>
      </c>
      <c r="V222" s="225">
        <f t="shared" si="16"/>
        <v>0</v>
      </c>
      <c r="W222" s="231">
        <f t="shared" si="17"/>
        <v>0</v>
      </c>
      <c r="X222" s="231"/>
    </row>
    <row r="223" spans="1:24" x14ac:dyDescent="0.25">
      <c r="A223" s="99"/>
      <c r="B223" s="170"/>
      <c r="C223" s="40"/>
      <c r="D223" s="41"/>
      <c r="E223" s="42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ht="13.8" thickBot="1" x14ac:dyDescent="0.3">
      <c r="A224" s="99"/>
      <c r="B224" s="146" t="s">
        <v>76</v>
      </c>
      <c r="C224" s="172"/>
      <c r="D224" s="171"/>
      <c r="E224" s="173"/>
      <c r="F224" s="50">
        <f>SUM(F219:F222)</f>
        <v>0</v>
      </c>
      <c r="G224" s="50">
        <f>SUM(G219:G222)</f>
        <v>0</v>
      </c>
      <c r="H224" s="244"/>
      <c r="I224" s="244"/>
      <c r="J224" s="244"/>
      <c r="K224" s="244"/>
      <c r="L224" s="244"/>
      <c r="M224" s="244"/>
      <c r="N224" s="244"/>
      <c r="O224" s="244"/>
      <c r="P224" s="244"/>
      <c r="Q224" s="253"/>
      <c r="R224" s="263"/>
      <c r="S224" s="237">
        <f>R224-F224</f>
        <v>0</v>
      </c>
      <c r="T224" s="238">
        <f>IF(F224=0,0,S224/F224)</f>
        <v>0</v>
      </c>
      <c r="U224" s="237">
        <f t="shared" si="15"/>
        <v>0</v>
      </c>
      <c r="V224" s="237">
        <f t="shared" si="16"/>
        <v>0</v>
      </c>
      <c r="W224" s="238">
        <f t="shared" si="17"/>
        <v>0</v>
      </c>
      <c r="X224" s="238"/>
    </row>
    <row r="225" spans="1:24" ht="13.8" thickTop="1" x14ac:dyDescent="0.25">
      <c r="B225" s="174"/>
      <c r="F225" s="175"/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57"/>
      <c r="S225" s="225"/>
      <c r="T225" s="231"/>
      <c r="U225" s="225"/>
      <c r="V225" s="225"/>
      <c r="W225" s="231"/>
      <c r="X225" s="231"/>
    </row>
    <row r="226" spans="1:24" x14ac:dyDescent="0.25">
      <c r="A226" s="99" t="s">
        <v>119</v>
      </c>
      <c r="B226" s="99" t="s">
        <v>193</v>
      </c>
      <c r="C226" s="2"/>
      <c r="D226" s="142"/>
      <c r="E226" s="143"/>
      <c r="F226" s="3"/>
      <c r="G226" s="53"/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56"/>
      <c r="S226" s="225"/>
      <c r="T226" s="231"/>
      <c r="U226" s="225"/>
      <c r="V226" s="225"/>
      <c r="W226" s="231"/>
      <c r="X226" s="231"/>
    </row>
    <row r="227" spans="1:24" ht="26.4" x14ac:dyDescent="0.25">
      <c r="A227" s="109" t="s">
        <v>120</v>
      </c>
      <c r="B227" s="170" t="s">
        <v>768</v>
      </c>
      <c r="C227" s="35" t="s">
        <v>369</v>
      </c>
      <c r="D227" s="36">
        <v>2</v>
      </c>
      <c r="E227" s="39">
        <v>950</v>
      </c>
      <c r="F227" s="3">
        <f>D227*E227</f>
        <v>1900</v>
      </c>
      <c r="G227" s="317">
        <f>F227*C4</f>
        <v>2675.2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>
        <f>R227-F227</f>
        <v>-1900</v>
      </c>
      <c r="T227" s="231">
        <f>IF(F227=0,0,S227/F227)</f>
        <v>-1</v>
      </c>
      <c r="U227" s="225">
        <f t="shared" si="15"/>
        <v>0</v>
      </c>
      <c r="V227" s="225">
        <f t="shared" si="16"/>
        <v>-2675.2</v>
      </c>
      <c r="W227" s="231">
        <f t="shared" si="17"/>
        <v>-1</v>
      </c>
      <c r="X227" s="231"/>
    </row>
    <row r="228" spans="1:24" hidden="1" x14ac:dyDescent="0.25">
      <c r="A228" s="109" t="s">
        <v>121</v>
      </c>
      <c r="B228" s="170" t="s">
        <v>130</v>
      </c>
      <c r="C228" s="35"/>
      <c r="D228" s="36"/>
      <c r="E228" s="39"/>
      <c r="F228" s="3">
        <f>D228*E228</f>
        <v>0</v>
      </c>
      <c r="G228" s="317">
        <f>F228*C4</f>
        <v>0</v>
      </c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62"/>
      <c r="S228" s="225">
        <f>R228-F228</f>
        <v>0</v>
      </c>
      <c r="T228" s="231">
        <f>IF(F228=0,0,S228/F228)</f>
        <v>0</v>
      </c>
      <c r="U228" s="225">
        <f t="shared" si="15"/>
        <v>0</v>
      </c>
      <c r="V228" s="225">
        <f t="shared" si="16"/>
        <v>0</v>
      </c>
      <c r="W228" s="231">
        <f t="shared" si="17"/>
        <v>0</v>
      </c>
      <c r="X228" s="231"/>
    </row>
    <row r="229" spans="1:24" hidden="1" x14ac:dyDescent="0.25">
      <c r="A229" s="109" t="s">
        <v>122</v>
      </c>
      <c r="B229" s="170" t="s">
        <v>128</v>
      </c>
      <c r="C229" s="35"/>
      <c r="D229" s="36"/>
      <c r="E229" s="39"/>
      <c r="F229" s="3">
        <f>D229*E229</f>
        <v>0</v>
      </c>
      <c r="G229" s="317">
        <f>F229*C4</f>
        <v>0</v>
      </c>
      <c r="H229" s="242"/>
      <c r="I229" s="242"/>
      <c r="J229" s="242"/>
      <c r="K229" s="242"/>
      <c r="L229" s="242"/>
      <c r="M229" s="242"/>
      <c r="N229" s="242"/>
      <c r="O229" s="242"/>
      <c r="P229" s="242"/>
      <c r="Q229" s="251"/>
      <c r="R229" s="262"/>
      <c r="S229" s="225">
        <f>R229-F229</f>
        <v>0</v>
      </c>
      <c r="T229" s="231">
        <f>IF(F229=0,0,S229/F229)</f>
        <v>0</v>
      </c>
      <c r="U229" s="225">
        <f t="shared" si="15"/>
        <v>0</v>
      </c>
      <c r="V229" s="225">
        <f t="shared" si="16"/>
        <v>0</v>
      </c>
      <c r="W229" s="231">
        <f t="shared" si="17"/>
        <v>0</v>
      </c>
      <c r="X229" s="231"/>
    </row>
    <row r="230" spans="1:24" ht="26.4" x14ac:dyDescent="0.25">
      <c r="A230" s="109" t="s">
        <v>123</v>
      </c>
      <c r="B230" s="170" t="s">
        <v>769</v>
      </c>
      <c r="C230" s="35" t="s">
        <v>371</v>
      </c>
      <c r="D230" s="36">
        <v>2</v>
      </c>
      <c r="E230" s="39">
        <v>1700</v>
      </c>
      <c r="F230" s="3">
        <f>D230*E230</f>
        <v>3400</v>
      </c>
      <c r="G230" s="317">
        <f>F230*C4</f>
        <v>4787.2</v>
      </c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62"/>
      <c r="S230" s="225">
        <f>R230-F230</f>
        <v>-3400</v>
      </c>
      <c r="T230" s="231">
        <f>IF(F230=0,0,S230/F230)</f>
        <v>-1</v>
      </c>
      <c r="U230" s="225">
        <f t="shared" si="15"/>
        <v>0</v>
      </c>
      <c r="V230" s="225">
        <f t="shared" si="16"/>
        <v>-4787.2</v>
      </c>
      <c r="W230" s="231">
        <f t="shared" si="17"/>
        <v>-1</v>
      </c>
      <c r="X230" s="231"/>
    </row>
    <row r="231" spans="1:24" x14ac:dyDescent="0.25">
      <c r="A231" s="99"/>
      <c r="B231" s="170"/>
      <c r="C231" s="40"/>
      <c r="D231" s="41"/>
      <c r="E231" s="42"/>
      <c r="F231" s="3"/>
      <c r="G231" s="53"/>
      <c r="H231" s="242"/>
      <c r="I231" s="242"/>
      <c r="J231" s="242"/>
      <c r="K231" s="242"/>
      <c r="L231" s="242"/>
      <c r="M231" s="242"/>
      <c r="N231" s="242"/>
      <c r="O231" s="242"/>
      <c r="P231" s="242"/>
      <c r="Q231" s="251"/>
      <c r="R231" s="256"/>
      <c r="S231" s="225"/>
      <c r="T231" s="231"/>
      <c r="U231" s="225"/>
      <c r="V231" s="225"/>
      <c r="W231" s="231"/>
      <c r="X231" s="231"/>
    </row>
    <row r="232" spans="1:24" ht="13.8" thickBot="1" x14ac:dyDescent="0.3">
      <c r="A232" s="99"/>
      <c r="B232" s="146" t="s">
        <v>194</v>
      </c>
      <c r="C232" s="172"/>
      <c r="D232" s="171"/>
      <c r="E232" s="173"/>
      <c r="F232" s="50">
        <f>SUM(F227:F230)</f>
        <v>5300</v>
      </c>
      <c r="G232" s="50">
        <f>SUM(G227:G230)</f>
        <v>7462.4</v>
      </c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/>
      <c r="S232" s="237">
        <f>R232-F232</f>
        <v>-5300</v>
      </c>
      <c r="T232" s="238">
        <f>IF(F232=0,0,S232/F232)</f>
        <v>-1</v>
      </c>
      <c r="U232" s="237">
        <f t="shared" si="15"/>
        <v>0</v>
      </c>
      <c r="V232" s="237">
        <f t="shared" si="16"/>
        <v>-7462.4</v>
      </c>
      <c r="W232" s="238">
        <f t="shared" si="17"/>
        <v>-1</v>
      </c>
      <c r="X232" s="238"/>
    </row>
    <row r="233" spans="1:24" ht="13.8" thickTop="1" x14ac:dyDescent="0.25">
      <c r="B233" s="174"/>
      <c r="F233" s="175"/>
      <c r="H233" s="242"/>
      <c r="I233" s="242"/>
      <c r="J233" s="242"/>
      <c r="K233" s="242"/>
      <c r="L233" s="242"/>
      <c r="M233" s="242"/>
      <c r="N233" s="242"/>
      <c r="O233" s="242"/>
      <c r="P233" s="242"/>
      <c r="Q233" s="251"/>
      <c r="R233" s="257"/>
      <c r="S233" s="225"/>
      <c r="T233" s="231"/>
      <c r="U233" s="225"/>
      <c r="V233" s="225"/>
      <c r="W233" s="231"/>
      <c r="X233" s="231"/>
    </row>
    <row r="234" spans="1:24" x14ac:dyDescent="0.25">
      <c r="A234" s="99" t="s">
        <v>157</v>
      </c>
      <c r="B234" s="99" t="s">
        <v>156</v>
      </c>
      <c r="C234" s="2"/>
      <c r="D234" s="142"/>
      <c r="E234" s="143"/>
      <c r="F234" s="3"/>
      <c r="G234" s="53"/>
      <c r="H234" s="242"/>
      <c r="I234" s="242"/>
      <c r="J234" s="242"/>
      <c r="K234" s="242"/>
      <c r="L234" s="242"/>
      <c r="M234" s="242"/>
      <c r="N234" s="242"/>
      <c r="O234" s="242"/>
      <c r="P234" s="242"/>
      <c r="Q234" s="251"/>
      <c r="R234" s="256"/>
      <c r="S234" s="225"/>
      <c r="T234" s="231"/>
      <c r="U234" s="225"/>
      <c r="V234" s="225"/>
      <c r="W234" s="231"/>
      <c r="X234" s="231"/>
    </row>
    <row r="235" spans="1:24" x14ac:dyDescent="0.25">
      <c r="A235" s="109" t="s">
        <v>162</v>
      </c>
      <c r="B235" s="170" t="s">
        <v>294</v>
      </c>
      <c r="C235" s="35"/>
      <c r="D235" s="36"/>
      <c r="E235" s="39"/>
      <c r="F235" s="3">
        <f>D235*E235</f>
        <v>0</v>
      </c>
      <c r="G235" s="53">
        <f>F235*C4</f>
        <v>0</v>
      </c>
      <c r="H235" s="242"/>
      <c r="I235" s="242"/>
      <c r="J235" s="242"/>
      <c r="K235" s="242"/>
      <c r="L235" s="242"/>
      <c r="M235" s="242"/>
      <c r="N235" s="242"/>
      <c r="O235" s="242"/>
      <c r="P235" s="242"/>
      <c r="Q235" s="251"/>
      <c r="R235" s="262"/>
      <c r="S235" s="225">
        <f>R235-F235</f>
        <v>0</v>
      </c>
      <c r="T235" s="231">
        <f>IF(F235=0,0,S235/F235)</f>
        <v>0</v>
      </c>
      <c r="U235" s="225">
        <f t="shared" si="15"/>
        <v>0</v>
      </c>
      <c r="V235" s="225">
        <f t="shared" si="16"/>
        <v>0</v>
      </c>
      <c r="W235" s="231">
        <f t="shared" si="17"/>
        <v>0</v>
      </c>
      <c r="X235" s="231"/>
    </row>
    <row r="236" spans="1:24" x14ac:dyDescent="0.25">
      <c r="A236" s="109" t="s">
        <v>163</v>
      </c>
      <c r="B236" s="170" t="s">
        <v>159</v>
      </c>
      <c r="C236" s="35"/>
      <c r="D236" s="36"/>
      <c r="E236" s="39"/>
      <c r="F236" s="3">
        <f>D236*E236</f>
        <v>0</v>
      </c>
      <c r="G236" s="53">
        <f>F236*C4</f>
        <v>0</v>
      </c>
      <c r="H236" s="242"/>
      <c r="I236" s="242"/>
      <c r="J236" s="242"/>
      <c r="K236" s="242"/>
      <c r="L236" s="242"/>
      <c r="M236" s="242"/>
      <c r="N236" s="242"/>
      <c r="O236" s="242"/>
      <c r="P236" s="242"/>
      <c r="Q236" s="251"/>
      <c r="R236" s="262"/>
      <c r="S236" s="225">
        <f>R236-F236</f>
        <v>0</v>
      </c>
      <c r="T236" s="231">
        <f>IF(F236=0,0,S236/F236)</f>
        <v>0</v>
      </c>
      <c r="U236" s="225">
        <f t="shared" si="15"/>
        <v>0</v>
      </c>
      <c r="V236" s="225">
        <f t="shared" si="16"/>
        <v>0</v>
      </c>
      <c r="W236" s="231">
        <f t="shared" si="17"/>
        <v>0</v>
      </c>
      <c r="X236" s="231"/>
    </row>
    <row r="237" spans="1:24" x14ac:dyDescent="0.25">
      <c r="A237" s="109" t="s">
        <v>164</v>
      </c>
      <c r="B237" s="170" t="s">
        <v>160</v>
      </c>
      <c r="C237" s="35"/>
      <c r="D237" s="36"/>
      <c r="E237" s="39"/>
      <c r="F237" s="3">
        <f>D237*E237</f>
        <v>0</v>
      </c>
      <c r="G237" s="53">
        <f>F237*C4</f>
        <v>0</v>
      </c>
      <c r="H237" s="242"/>
      <c r="I237" s="242"/>
      <c r="J237" s="242"/>
      <c r="K237" s="242"/>
      <c r="L237" s="242"/>
      <c r="M237" s="242"/>
      <c r="N237" s="242"/>
      <c r="O237" s="242"/>
      <c r="P237" s="242"/>
      <c r="Q237" s="251"/>
      <c r="R237" s="262"/>
      <c r="S237" s="225">
        <f>R237-F237</f>
        <v>0</v>
      </c>
      <c r="T237" s="231">
        <f>IF(F237=0,0,S237/F237)</f>
        <v>0</v>
      </c>
      <c r="U237" s="225">
        <f t="shared" si="15"/>
        <v>0</v>
      </c>
      <c r="V237" s="225">
        <f t="shared" si="16"/>
        <v>0</v>
      </c>
      <c r="W237" s="231">
        <f t="shared" si="17"/>
        <v>0</v>
      </c>
      <c r="X237" s="231"/>
    </row>
    <row r="238" spans="1:24" x14ac:dyDescent="0.25">
      <c r="A238" s="99"/>
      <c r="B238" s="170"/>
      <c r="C238" s="40"/>
      <c r="D238" s="41"/>
      <c r="E238" s="42"/>
      <c r="F238" s="3"/>
      <c r="G238" s="53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6"/>
      <c r="S238" s="237"/>
      <c r="T238" s="238"/>
      <c r="U238" s="237"/>
      <c r="V238" s="237"/>
      <c r="W238" s="238"/>
      <c r="X238" s="238"/>
    </row>
    <row r="239" spans="1:24" ht="13.8" thickBot="1" x14ac:dyDescent="0.3">
      <c r="A239" s="99"/>
      <c r="B239" s="146" t="s">
        <v>161</v>
      </c>
      <c r="C239" s="172"/>
      <c r="D239" s="171"/>
      <c r="E239" s="173"/>
      <c r="F239" s="50">
        <f>SUM(F235:F237)</f>
        <v>0</v>
      </c>
      <c r="G239" s="50">
        <f>SUM(G235:G237)</f>
        <v>0</v>
      </c>
      <c r="H239" s="244"/>
      <c r="I239" s="244"/>
      <c r="J239" s="244"/>
      <c r="K239" s="244"/>
      <c r="L239" s="244"/>
      <c r="M239" s="244"/>
      <c r="N239" s="244"/>
      <c r="O239" s="244"/>
      <c r="P239" s="244"/>
      <c r="Q239" s="253"/>
      <c r="R239" s="263"/>
      <c r="S239" s="237">
        <f>R239-F239</f>
        <v>0</v>
      </c>
      <c r="T239" s="238">
        <f>IF(F239=0,0,S239/F239)</f>
        <v>0</v>
      </c>
      <c r="U239" s="237">
        <f t="shared" si="15"/>
        <v>0</v>
      </c>
      <c r="V239" s="237">
        <f t="shared" si="16"/>
        <v>0</v>
      </c>
      <c r="W239" s="238">
        <f t="shared" si="17"/>
        <v>0</v>
      </c>
      <c r="X239" s="238"/>
    </row>
    <row r="240" spans="1:24" ht="13.8" thickTop="1" x14ac:dyDescent="0.25">
      <c r="A240" s="99"/>
      <c r="B240" s="146"/>
      <c r="C240" s="172"/>
      <c r="D240" s="171"/>
      <c r="E240" s="173"/>
      <c r="F240" s="169"/>
      <c r="G240" s="169"/>
      <c r="H240" s="244"/>
      <c r="I240" s="244"/>
      <c r="J240" s="244"/>
      <c r="K240" s="244"/>
      <c r="L240" s="244"/>
      <c r="M240" s="244"/>
      <c r="N240" s="244"/>
      <c r="O240" s="244"/>
      <c r="P240" s="244"/>
      <c r="Q240" s="253"/>
      <c r="R240" s="263"/>
      <c r="S240" s="237"/>
      <c r="T240" s="238"/>
      <c r="U240" s="237"/>
      <c r="V240" s="237"/>
      <c r="W240" s="238"/>
      <c r="X240" s="238"/>
    </row>
    <row r="241" spans="1:24" x14ac:dyDescent="0.25">
      <c r="A241" s="99" t="s">
        <v>310</v>
      </c>
      <c r="B241" s="146" t="s">
        <v>313</v>
      </c>
      <c r="C241" s="172"/>
      <c r="D241" s="171"/>
      <c r="E241" s="173"/>
      <c r="F241" s="169"/>
      <c r="G241" s="169"/>
      <c r="H241" s="244"/>
      <c r="I241" s="244"/>
      <c r="J241" s="244"/>
      <c r="K241" s="244"/>
      <c r="L241" s="244"/>
      <c r="M241" s="244"/>
      <c r="N241" s="244"/>
      <c r="O241" s="244"/>
      <c r="P241" s="244"/>
      <c r="Q241" s="253"/>
      <c r="R241" s="263"/>
      <c r="S241" s="237"/>
      <c r="T241" s="238"/>
      <c r="U241" s="237"/>
      <c r="V241" s="237"/>
      <c r="W241" s="238"/>
      <c r="X241" s="238"/>
    </row>
    <row r="242" spans="1:24" x14ac:dyDescent="0.25">
      <c r="A242" s="109" t="s">
        <v>315</v>
      </c>
      <c r="B242" s="157" t="s">
        <v>314</v>
      </c>
      <c r="C242" s="172"/>
      <c r="D242" s="171"/>
      <c r="E242" s="173">
        <f ca="1">F267/1.03*3%</f>
        <v>36951.899999999994</v>
      </c>
      <c r="F242" s="169">
        <f ca="1">E242</f>
        <v>36951.899999999994</v>
      </c>
      <c r="G242" s="169">
        <f ca="1">F242*C4</f>
        <v>52028.275199999989</v>
      </c>
      <c r="H242" s="244"/>
      <c r="I242" s="244"/>
      <c r="J242" s="244"/>
      <c r="K242" s="244"/>
      <c r="L242" s="244"/>
      <c r="M242" s="244"/>
      <c r="N242" s="244"/>
      <c r="O242" s="244"/>
      <c r="P242" s="244"/>
      <c r="Q242" s="253"/>
      <c r="R242" s="263" t="e">
        <f>#REF!/1.03*3%</f>
        <v>#REF!</v>
      </c>
      <c r="S242" s="237"/>
      <c r="T242" s="238"/>
      <c r="U242" s="237" t="e">
        <f>R242*C4</f>
        <v>#REF!</v>
      </c>
      <c r="V242" s="237"/>
      <c r="W242" s="238"/>
      <c r="X242" s="238"/>
    </row>
    <row r="243" spans="1:24" x14ac:dyDescent="0.25">
      <c r="A243" s="109"/>
      <c r="B243" s="157"/>
      <c r="C243" s="172"/>
      <c r="D243" s="171"/>
      <c r="E243" s="173"/>
      <c r="F243" s="169"/>
      <c r="G243" s="169"/>
      <c r="H243" s="244"/>
      <c r="I243" s="244"/>
      <c r="J243" s="244"/>
      <c r="K243" s="244"/>
      <c r="L243" s="244"/>
      <c r="M243" s="244"/>
      <c r="N243" s="244"/>
      <c r="O243" s="244"/>
      <c r="P243" s="244"/>
      <c r="Q243" s="253"/>
      <c r="R243" s="263"/>
      <c r="S243" s="237"/>
      <c r="T243" s="238"/>
      <c r="U243" s="237"/>
      <c r="V243" s="237"/>
      <c r="W243" s="238"/>
      <c r="X243" s="238"/>
    </row>
    <row r="244" spans="1:24" ht="13.8" thickBot="1" x14ac:dyDescent="0.3">
      <c r="A244" s="99"/>
      <c r="B244" s="146" t="s">
        <v>316</v>
      </c>
      <c r="C244" s="172"/>
      <c r="D244" s="171"/>
      <c r="E244" s="173"/>
      <c r="F244" s="50">
        <f ca="1">F242</f>
        <v>36951.899999999994</v>
      </c>
      <c r="G244" s="50">
        <f ca="1">G242</f>
        <v>52028.275199999989</v>
      </c>
      <c r="H244" s="267"/>
      <c r="I244" s="244"/>
      <c r="J244" s="244"/>
      <c r="K244" s="244"/>
      <c r="L244" s="244"/>
      <c r="M244" s="244"/>
      <c r="N244" s="244"/>
      <c r="O244" s="244"/>
      <c r="P244" s="244"/>
      <c r="Q244" s="253"/>
      <c r="R244" s="263"/>
      <c r="S244" s="237"/>
      <c r="T244" s="238"/>
      <c r="U244" s="237"/>
      <c r="V244" s="237"/>
      <c r="W244" s="238"/>
      <c r="X244" s="238"/>
    </row>
    <row r="245" spans="1:24" ht="13.8" thickTop="1" x14ac:dyDescent="0.25">
      <c r="A245" s="99"/>
      <c r="B245" s="146"/>
      <c r="C245" s="172"/>
      <c r="D245" s="49"/>
      <c r="E245" s="173"/>
      <c r="F245" s="169"/>
      <c r="G245" s="169"/>
      <c r="H245" s="267"/>
      <c r="I245" s="244"/>
      <c r="J245" s="244"/>
      <c r="K245" s="244"/>
      <c r="L245" s="244"/>
      <c r="M245" s="244"/>
      <c r="N245" s="244"/>
      <c r="O245" s="244"/>
      <c r="P245" s="244"/>
      <c r="Q245" s="253"/>
      <c r="R245" s="263"/>
      <c r="S245" s="237"/>
      <c r="T245" s="238"/>
      <c r="U245" s="237"/>
      <c r="V245" s="237"/>
      <c r="W245" s="238"/>
      <c r="X245" s="238"/>
    </row>
    <row r="246" spans="1:24" s="201" customFormat="1" ht="13.8" thickBot="1" x14ac:dyDescent="0.3">
      <c r="A246" s="200"/>
      <c r="B246" s="376" t="s">
        <v>49</v>
      </c>
      <c r="C246" s="377"/>
      <c r="D246" s="378"/>
      <c r="E246" s="379"/>
      <c r="F246" s="385">
        <f ca="1">SUM(F100+F171+F187+F206+F215+F224+F232+F239+F244)</f>
        <v>1182041.8999999999</v>
      </c>
      <c r="G246" s="386">
        <f ca="1">SUM(G100+G171+G187+G206+G215+G224+G232+G239+G244)</f>
        <v>1664314.9952</v>
      </c>
      <c r="H246" s="380"/>
      <c r="I246" s="380"/>
      <c r="J246" s="380"/>
      <c r="K246" s="380"/>
      <c r="L246" s="380"/>
      <c r="M246" s="380"/>
      <c r="N246" s="380"/>
      <c r="O246" s="380"/>
      <c r="P246" s="380"/>
      <c r="Q246" s="381"/>
      <c r="R246" s="382"/>
      <c r="S246" s="383">
        <f ca="1">R246-F246</f>
        <v>-1182041.8999999999</v>
      </c>
      <c r="T246" s="384">
        <f ca="1">IF(F246=0,0,S246/F246)</f>
        <v>-1</v>
      </c>
      <c r="U246" s="383">
        <f t="shared" si="15"/>
        <v>0</v>
      </c>
      <c r="V246" s="383">
        <f t="shared" ca="1" si="16"/>
        <v>-1664314.9952</v>
      </c>
      <c r="W246" s="384">
        <f t="shared" ca="1" si="17"/>
        <v>-1</v>
      </c>
      <c r="X246" s="384"/>
    </row>
    <row r="247" spans="1:24" ht="13.8" thickTop="1" x14ac:dyDescent="0.25">
      <c r="B247" s="87"/>
      <c r="F247" s="48"/>
      <c r="G247" s="48"/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57"/>
      <c r="S247" s="225"/>
      <c r="T247" s="231"/>
      <c r="U247" s="225"/>
      <c r="V247" s="225"/>
      <c r="W247" s="231"/>
      <c r="X247" s="231"/>
    </row>
    <row r="248" spans="1:24" x14ac:dyDescent="0.25">
      <c r="B248" s="87"/>
      <c r="F248" s="48"/>
      <c r="G248" s="48"/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57"/>
      <c r="S248" s="225"/>
      <c r="T248" s="231"/>
      <c r="U248" s="225"/>
      <c r="V248" s="225"/>
      <c r="W248" s="231"/>
      <c r="X248" s="231"/>
    </row>
    <row r="249" spans="1:24" x14ac:dyDescent="0.25">
      <c r="A249" s="70" t="s">
        <v>57</v>
      </c>
      <c r="F249" s="48"/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57"/>
      <c r="S249" s="225"/>
      <c r="T249" s="231"/>
      <c r="U249" s="225"/>
      <c r="V249" s="225"/>
      <c r="W249" s="231"/>
      <c r="X249" s="231"/>
    </row>
    <row r="250" spans="1:24" x14ac:dyDescent="0.25">
      <c r="A250" s="70" t="s">
        <v>18</v>
      </c>
      <c r="B250" s="181" t="s">
        <v>9</v>
      </c>
      <c r="F250" s="48"/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57"/>
      <c r="S250" s="225"/>
      <c r="T250" s="231"/>
      <c r="U250" s="225"/>
      <c r="V250" s="225"/>
      <c r="W250" s="231"/>
      <c r="X250" s="231"/>
    </row>
    <row r="251" spans="1:24" x14ac:dyDescent="0.25">
      <c r="B251" s="137" t="s">
        <v>847</v>
      </c>
      <c r="C251" s="35" t="s">
        <v>322</v>
      </c>
      <c r="D251" s="36">
        <v>12</v>
      </c>
      <c r="E251" s="39">
        <v>1700</v>
      </c>
      <c r="F251" s="48">
        <f>D251*E251</f>
        <v>20400</v>
      </c>
      <c r="G251" s="295">
        <f>F251*C4</f>
        <v>28723.199999999997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>
        <f>R251-F251</f>
        <v>-20400</v>
      </c>
      <c r="T251" s="231">
        <f>IF(F251=0,0,S251/F251)</f>
        <v>-1</v>
      </c>
      <c r="U251" s="225">
        <f t="shared" si="15"/>
        <v>0</v>
      </c>
      <c r="V251" s="225">
        <f t="shared" si="16"/>
        <v>-28723.199999999997</v>
      </c>
      <c r="W251" s="231">
        <f t="shared" si="17"/>
        <v>-1</v>
      </c>
      <c r="X251" s="231"/>
    </row>
    <row r="252" spans="1:24" ht="18" customHeight="1" x14ac:dyDescent="0.25">
      <c r="B252" s="362" t="s">
        <v>848</v>
      </c>
      <c r="C252" s="35" t="s">
        <v>322</v>
      </c>
      <c r="D252" s="36">
        <v>12</v>
      </c>
      <c r="E252" s="39">
        <v>1500</v>
      </c>
      <c r="F252" s="48">
        <f>D252*E252</f>
        <v>18000</v>
      </c>
      <c r="G252" s="295">
        <f>F252*C4</f>
        <v>25344</v>
      </c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62"/>
      <c r="S252" s="225">
        <f>R252-F252</f>
        <v>-18000</v>
      </c>
      <c r="T252" s="231">
        <f>IF(F252=0,0,S252/F252)</f>
        <v>-1</v>
      </c>
      <c r="U252" s="225">
        <f t="shared" si="15"/>
        <v>0</v>
      </c>
      <c r="V252" s="225">
        <f t="shared" si="16"/>
        <v>-25344</v>
      </c>
      <c r="W252" s="231">
        <f t="shared" si="17"/>
        <v>-1</v>
      </c>
      <c r="X252" s="231"/>
    </row>
    <row r="253" spans="1:24" ht="26.4" x14ac:dyDescent="0.25">
      <c r="B253" s="137" t="s">
        <v>849</v>
      </c>
      <c r="C253" s="35" t="s">
        <v>322</v>
      </c>
      <c r="D253" s="36">
        <v>12</v>
      </c>
      <c r="E253" s="39">
        <v>1000</v>
      </c>
      <c r="F253" s="48">
        <f>D253*E253</f>
        <v>12000</v>
      </c>
      <c r="G253" s="295">
        <f>F253*C4</f>
        <v>16896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/>
      <c r="T253" s="231"/>
      <c r="U253" s="225"/>
      <c r="V253" s="225"/>
      <c r="W253" s="231"/>
      <c r="X253" s="231"/>
    </row>
    <row r="254" spans="1:24" ht="26.4" x14ac:dyDescent="0.25">
      <c r="B254" s="137" t="s">
        <v>851</v>
      </c>
      <c r="C254" s="35" t="s">
        <v>322</v>
      </c>
      <c r="D254" s="36">
        <v>12</v>
      </c>
      <c r="E254" s="39">
        <v>1650</v>
      </c>
      <c r="F254" s="48">
        <f>D254*E254</f>
        <v>19800</v>
      </c>
      <c r="G254" s="295">
        <f>F254*C4</f>
        <v>27878.399999999998</v>
      </c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62"/>
      <c r="S254" s="225"/>
      <c r="T254" s="231"/>
      <c r="U254" s="225"/>
      <c r="V254" s="225"/>
      <c r="W254" s="231"/>
      <c r="X254" s="231"/>
    </row>
    <row r="255" spans="1:24" x14ac:dyDescent="0.25">
      <c r="B255" s="182" t="s">
        <v>35</v>
      </c>
      <c r="C255" s="6"/>
      <c r="D255" s="7"/>
      <c r="E255" s="8"/>
      <c r="F255" s="48"/>
      <c r="G255" s="295"/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57"/>
      <c r="S255" s="225"/>
      <c r="T255" s="231"/>
      <c r="U255" s="225"/>
      <c r="V255" s="225"/>
      <c r="W255" s="231"/>
      <c r="X255" s="231"/>
    </row>
    <row r="256" spans="1:24" x14ac:dyDescent="0.25">
      <c r="B256" s="137" t="s">
        <v>465</v>
      </c>
      <c r="C256" s="35" t="s">
        <v>322</v>
      </c>
      <c r="D256" s="36">
        <v>12</v>
      </c>
      <c r="E256" s="39">
        <v>550</v>
      </c>
      <c r="F256" s="48">
        <f>D256*E256</f>
        <v>6600</v>
      </c>
      <c r="G256" s="295">
        <f>F256*C4</f>
        <v>9292.7999999999993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>
        <f>R256-F256</f>
        <v>-6600</v>
      </c>
      <c r="T256" s="231">
        <f>IF(F256=0,0,S256/F256)</f>
        <v>-1</v>
      </c>
      <c r="U256" s="225">
        <f t="shared" si="15"/>
        <v>0</v>
      </c>
      <c r="V256" s="225">
        <f t="shared" si="16"/>
        <v>-9292.7999999999993</v>
      </c>
      <c r="W256" s="231">
        <f t="shared" si="17"/>
        <v>-1</v>
      </c>
      <c r="X256" s="231"/>
    </row>
    <row r="257" spans="1:25" x14ac:dyDescent="0.25">
      <c r="B257" s="137" t="s">
        <v>852</v>
      </c>
      <c r="C257" s="35" t="s">
        <v>322</v>
      </c>
      <c r="D257" s="36">
        <v>12</v>
      </c>
      <c r="E257" s="39">
        <v>300</v>
      </c>
      <c r="F257" s="48">
        <f>D257*E257</f>
        <v>3600</v>
      </c>
      <c r="G257" s="295">
        <f>F257*C4</f>
        <v>5068.7999999999993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62"/>
      <c r="S257" s="225">
        <f>R257-F257</f>
        <v>-3600</v>
      </c>
      <c r="T257" s="231">
        <f>IF(F257=0,0,S257/F257)</f>
        <v>-1</v>
      </c>
      <c r="U257" s="225">
        <f t="shared" si="15"/>
        <v>0</v>
      </c>
      <c r="V257" s="225">
        <f t="shared" si="16"/>
        <v>-5068.7999999999993</v>
      </c>
      <c r="W257" s="231">
        <f t="shared" si="17"/>
        <v>-1</v>
      </c>
      <c r="X257" s="231"/>
    </row>
    <row r="258" spans="1:25" x14ac:dyDescent="0.25">
      <c r="B258" s="137" t="s">
        <v>38</v>
      </c>
      <c r="C258" s="35" t="s">
        <v>322</v>
      </c>
      <c r="D258" s="36">
        <v>12</v>
      </c>
      <c r="E258" s="39">
        <v>300</v>
      </c>
      <c r="F258" s="48">
        <f>D258*E258</f>
        <v>3600</v>
      </c>
      <c r="G258" s="295">
        <f>F258*C4</f>
        <v>5068.7999999999993</v>
      </c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62"/>
      <c r="S258" s="225">
        <f>R258-F258</f>
        <v>-3600</v>
      </c>
      <c r="T258" s="231">
        <f>IF(F258=0,0,S258/F258)</f>
        <v>-1</v>
      </c>
      <c r="U258" s="225">
        <f t="shared" si="15"/>
        <v>0</v>
      </c>
      <c r="V258" s="225">
        <f t="shared" si="16"/>
        <v>-5068.7999999999993</v>
      </c>
      <c r="W258" s="231">
        <f t="shared" si="17"/>
        <v>-1</v>
      </c>
      <c r="X258" s="231"/>
    </row>
    <row r="259" spans="1:25" x14ac:dyDescent="0.25">
      <c r="B259" s="182" t="s">
        <v>39</v>
      </c>
      <c r="C259" s="6"/>
      <c r="D259" s="7"/>
      <c r="E259" s="8"/>
      <c r="F259" s="48"/>
      <c r="G259" s="295"/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57"/>
      <c r="S259" s="225"/>
      <c r="T259" s="231"/>
      <c r="U259" s="225"/>
      <c r="V259" s="225"/>
      <c r="W259" s="231"/>
      <c r="X259" s="231"/>
    </row>
    <row r="260" spans="1:25" x14ac:dyDescent="0.25">
      <c r="B260" s="137" t="s">
        <v>40</v>
      </c>
      <c r="C260" s="35" t="s">
        <v>322</v>
      </c>
      <c r="D260" s="36">
        <v>12</v>
      </c>
      <c r="E260" s="39">
        <v>220</v>
      </c>
      <c r="F260" s="48">
        <f>D260*E260</f>
        <v>2640</v>
      </c>
      <c r="G260" s="295">
        <f>F260*C4</f>
        <v>3717.12</v>
      </c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62"/>
      <c r="S260" s="225">
        <f>R260-F260</f>
        <v>-2640</v>
      </c>
      <c r="T260" s="231">
        <f>IF(F260=0,0,S260/F260)</f>
        <v>-1</v>
      </c>
      <c r="U260" s="225">
        <f t="shared" si="15"/>
        <v>0</v>
      </c>
      <c r="V260" s="225">
        <f t="shared" si="16"/>
        <v>-3717.12</v>
      </c>
      <c r="W260" s="231">
        <f t="shared" si="17"/>
        <v>-1</v>
      </c>
      <c r="X260" s="231"/>
    </row>
    <row r="261" spans="1:25" hidden="1" x14ac:dyDescent="0.25">
      <c r="B261" s="182" t="s">
        <v>41</v>
      </c>
      <c r="C261" s="5"/>
      <c r="D261" s="5"/>
      <c r="E261" s="5"/>
      <c r="F261" s="168"/>
      <c r="G261" s="295"/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57"/>
      <c r="S261" s="225"/>
      <c r="T261" s="231"/>
      <c r="U261" s="225"/>
      <c r="V261" s="225"/>
      <c r="W261" s="231"/>
      <c r="X261" s="231"/>
    </row>
    <row r="262" spans="1:25" hidden="1" x14ac:dyDescent="0.25">
      <c r="B262" s="137" t="s">
        <v>42</v>
      </c>
      <c r="C262" s="35"/>
      <c r="D262" s="36"/>
      <c r="E262" s="39"/>
      <c r="F262" s="48">
        <f>D262*E262</f>
        <v>0</v>
      </c>
      <c r="G262" s="295">
        <f>F262*C4</f>
        <v>0</v>
      </c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62"/>
      <c r="S262" s="225">
        <f>R262-F262</f>
        <v>0</v>
      </c>
      <c r="T262" s="231">
        <f>IF(F262=0,0,S262/F262)</f>
        <v>0</v>
      </c>
      <c r="U262" s="225">
        <f t="shared" si="15"/>
        <v>0</v>
      </c>
      <c r="V262" s="225">
        <f t="shared" si="16"/>
        <v>0</v>
      </c>
      <c r="W262" s="231">
        <f t="shared" si="17"/>
        <v>0</v>
      </c>
      <c r="X262" s="231"/>
    </row>
    <row r="263" spans="1:25" x14ac:dyDescent="0.25">
      <c r="B263" s="149"/>
      <c r="C263" s="6"/>
      <c r="D263" s="7"/>
      <c r="E263" s="8"/>
      <c r="F263" s="48"/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57"/>
      <c r="S263" s="225"/>
      <c r="T263" s="231"/>
      <c r="U263" s="225"/>
      <c r="V263" s="225"/>
      <c r="W263" s="231"/>
      <c r="X263" s="231"/>
    </row>
    <row r="264" spans="1:25" x14ac:dyDescent="0.25">
      <c r="A264" s="177"/>
      <c r="B264" s="177" t="s">
        <v>58</v>
      </c>
      <c r="C264" s="179"/>
      <c r="D264" s="178"/>
      <c r="E264" s="180"/>
      <c r="F264" s="319">
        <f>SUM(F251:F263)</f>
        <v>86640</v>
      </c>
      <c r="G264" s="319">
        <f>SUM(G251:G263)</f>
        <v>121989.12</v>
      </c>
      <c r="H264" s="246"/>
      <c r="I264" s="246"/>
      <c r="J264" s="246"/>
      <c r="K264" s="246"/>
      <c r="L264" s="246"/>
      <c r="M264" s="246"/>
      <c r="N264" s="246"/>
      <c r="O264" s="246"/>
      <c r="P264" s="246"/>
      <c r="Q264" s="255"/>
      <c r="R264" s="265"/>
      <c r="S264" s="226">
        <f>R264-F264</f>
        <v>-86640</v>
      </c>
      <c r="T264" s="236">
        <f>IF(F264=0,0,S264/F264)</f>
        <v>-1</v>
      </c>
      <c r="U264" s="226">
        <f t="shared" si="15"/>
        <v>0</v>
      </c>
      <c r="V264" s="226">
        <f t="shared" si="16"/>
        <v>-121989.12</v>
      </c>
      <c r="W264" s="236">
        <f t="shared" si="17"/>
        <v>-1</v>
      </c>
      <c r="X264" s="236"/>
    </row>
    <row r="265" spans="1:25" x14ac:dyDescent="0.25">
      <c r="A265" s="146"/>
      <c r="B265" s="146"/>
      <c r="C265" s="118"/>
      <c r="D265" s="122"/>
      <c r="E265" s="123"/>
      <c r="F265" s="55">
        <f ca="1">(F264/F267)</f>
        <v>6.8291350258878919E-2</v>
      </c>
      <c r="G265" s="55">
        <f ca="1">(G264/G267)</f>
        <v>6.8291350258878919E-2</v>
      </c>
      <c r="H265" s="247"/>
      <c r="I265" s="248"/>
      <c r="J265" s="248"/>
      <c r="K265" s="248"/>
      <c r="L265" s="248"/>
      <c r="M265" s="248"/>
      <c r="N265" s="248"/>
      <c r="O265" s="248"/>
      <c r="P265" s="248"/>
      <c r="Q265" s="248"/>
      <c r="R265" s="228"/>
      <c r="S265" s="228"/>
      <c r="T265" s="228"/>
      <c r="U265" s="228"/>
      <c r="V265" s="228"/>
      <c r="W265" s="228"/>
      <c r="X265" s="228"/>
      <c r="Y265" s="53"/>
    </row>
    <row r="266" spans="1:25" x14ac:dyDescent="0.25">
      <c r="A266" s="146"/>
      <c r="B266" s="146"/>
      <c r="C266" s="118"/>
      <c r="D266" s="122"/>
      <c r="E266" s="123"/>
      <c r="F266" s="228"/>
      <c r="G266" s="228"/>
      <c r="H266" s="247"/>
      <c r="I266" s="248"/>
      <c r="J266" s="248"/>
      <c r="K266" s="248"/>
      <c r="L266" s="248"/>
      <c r="M266" s="248"/>
      <c r="N266" s="248"/>
      <c r="O266" s="248"/>
      <c r="P266" s="248"/>
      <c r="Q266" s="248"/>
      <c r="R266" s="228"/>
      <c r="S266" s="228"/>
      <c r="T266" s="228"/>
      <c r="U266" s="228"/>
      <c r="V266" s="228"/>
      <c r="W266" s="228"/>
      <c r="X266" s="228"/>
      <c r="Y266" s="53"/>
    </row>
    <row r="267" spans="1:25" hidden="1" x14ac:dyDescent="0.25">
      <c r="A267" s="275"/>
      <c r="B267" s="275" t="s">
        <v>318</v>
      </c>
      <c r="C267" s="276"/>
      <c r="D267" s="277"/>
      <c r="E267" s="274"/>
      <c r="F267" s="371">
        <f ca="1">SUM(F246+F264)</f>
        <v>1268681.8999999999</v>
      </c>
      <c r="G267" s="371">
        <f ca="1">G246+G264</f>
        <v>1786304.1151999999</v>
      </c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175"/>
      <c r="S267" s="175"/>
      <c r="T267" s="175"/>
      <c r="U267" s="175"/>
      <c r="V267" s="175"/>
      <c r="W267" s="175"/>
      <c r="X267" s="175"/>
    </row>
    <row r="268" spans="1:25" ht="13.8" thickBot="1" x14ac:dyDescent="0.3">
      <c r="A268" s="275"/>
      <c r="B268" s="275" t="s">
        <v>318</v>
      </c>
      <c r="C268" s="276"/>
      <c r="D268" s="277"/>
      <c r="E268" s="274"/>
      <c r="F268" s="278">
        <f ca="1">F246+F264</f>
        <v>1268681.8999999999</v>
      </c>
      <c r="G268" s="278">
        <f ca="1">G246+G264</f>
        <v>1786304.1151999999</v>
      </c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175"/>
      <c r="S268" s="175"/>
      <c r="T268" s="175"/>
      <c r="U268" s="175"/>
      <c r="V268" s="175"/>
      <c r="W268" s="175"/>
      <c r="X268" s="175"/>
      <c r="Y268" s="53"/>
    </row>
    <row r="269" spans="1:25" ht="13.8" thickTop="1" x14ac:dyDescent="0.25">
      <c r="F269" s="4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"/>
      <c r="S269" s="1"/>
      <c r="T269" s="1"/>
      <c r="U269" s="1"/>
      <c r="V269" s="1"/>
      <c r="W269" s="1"/>
      <c r="X269" s="1"/>
    </row>
    <row r="270" spans="1:25" ht="13.8" hidden="1" thickBot="1" x14ac:dyDescent="0.3">
      <c r="A270" s="184" t="s">
        <v>24</v>
      </c>
      <c r="B270" s="185"/>
      <c r="C270" s="186"/>
      <c r="D270" s="187"/>
      <c r="E270" s="188"/>
      <c r="F270" s="372">
        <f ca="1">SUM(F267-F73)</f>
        <v>1268681.8999999999</v>
      </c>
      <c r="G270" s="372">
        <f ca="1">SUM(G267-G73)</f>
        <v>1786304.1151999999</v>
      </c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229"/>
      <c r="S270" s="229"/>
      <c r="T270" s="229"/>
      <c r="U270" s="229"/>
      <c r="V270" s="229"/>
      <c r="W270" s="229"/>
      <c r="X270" s="229"/>
    </row>
    <row r="271" spans="1:25" ht="13.8" thickBot="1" x14ac:dyDescent="0.3">
      <c r="A271" s="404" t="s">
        <v>24</v>
      </c>
      <c r="B271" s="404"/>
      <c r="C271" s="186"/>
      <c r="D271" s="187"/>
      <c r="E271" s="188"/>
      <c r="F271" s="290">
        <f ca="1">F268</f>
        <v>1268681.8999999999</v>
      </c>
      <c r="G271" s="56">
        <f ca="1">G268</f>
        <v>1786304.1151999999</v>
      </c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</row>
    <row r="272" spans="1:25" ht="13.8" thickTop="1" x14ac:dyDescent="0.25">
      <c r="F272" s="74"/>
    </row>
    <row r="273" spans="1:24" x14ac:dyDescent="0.25">
      <c r="F273" s="74"/>
    </row>
    <row r="274" spans="1:24" x14ac:dyDescent="0.25">
      <c r="A274" s="70" t="s">
        <v>15</v>
      </c>
      <c r="F274" s="74"/>
    </row>
    <row r="275" spans="1:24" x14ac:dyDescent="0.25">
      <c r="F275" s="74"/>
    </row>
    <row r="276" spans="1:24" ht="15" x14ac:dyDescent="0.4">
      <c r="B276" s="190" t="s">
        <v>16</v>
      </c>
      <c r="D276" s="191" t="s">
        <v>26</v>
      </c>
      <c r="F276" s="393" t="s">
        <v>17</v>
      </c>
      <c r="G276" s="394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</row>
    <row r="277" spans="1:24" ht="53.25" customHeight="1" x14ac:dyDescent="0.4">
      <c r="B277" s="49" t="s">
        <v>391</v>
      </c>
      <c r="D277" s="191">
        <f>450*C4</f>
        <v>633.59999999999991</v>
      </c>
      <c r="F277" s="403" t="s">
        <v>854</v>
      </c>
      <c r="G277" s="403"/>
    </row>
    <row r="278" spans="1:24" x14ac:dyDescent="0.25">
      <c r="B278" s="49" t="s">
        <v>853</v>
      </c>
      <c r="D278" s="72">
        <f>500*C4</f>
        <v>704</v>
      </c>
      <c r="F278" s="403"/>
      <c r="G278" s="403"/>
    </row>
    <row r="279" spans="1:24" x14ac:dyDescent="0.25">
      <c r="B279" s="49" t="s">
        <v>844</v>
      </c>
      <c r="D279" s="72">
        <f>750*C4</f>
        <v>1056</v>
      </c>
      <c r="F279" s="403"/>
      <c r="G279" s="403"/>
    </row>
    <row r="280" spans="1:24" x14ac:dyDescent="0.25">
      <c r="B280" s="49" t="s">
        <v>855</v>
      </c>
      <c r="D280" s="72">
        <f>150*C4</f>
        <v>211.2</v>
      </c>
      <c r="F280" s="74"/>
    </row>
    <row r="281" spans="1:24" x14ac:dyDescent="0.25">
      <c r="F281" s="74"/>
    </row>
    <row r="282" spans="1:24" x14ac:dyDescent="0.25">
      <c r="F282" s="74"/>
    </row>
    <row r="283" spans="1:24" x14ac:dyDescent="0.25">
      <c r="F283" s="74"/>
    </row>
    <row r="284" spans="1:24" x14ac:dyDescent="0.25">
      <c r="F284" s="74"/>
    </row>
    <row r="285" spans="1:24" x14ac:dyDescent="0.25">
      <c r="F285" s="74"/>
    </row>
    <row r="286" spans="1:24" x14ac:dyDescent="0.25">
      <c r="F286" s="74"/>
    </row>
    <row r="287" spans="1:24" x14ac:dyDescent="0.25">
      <c r="F287" s="74"/>
    </row>
    <row r="288" spans="1:24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  <row r="1889" spans="6:6" x14ac:dyDescent="0.25">
      <c r="F1889" s="74"/>
    </row>
    <row r="1890" spans="6:6" x14ac:dyDescent="0.25">
      <c r="F1890" s="74"/>
    </row>
  </sheetData>
  <mergeCells count="5">
    <mergeCell ref="A1:G1"/>
    <mergeCell ref="H76:Q76"/>
    <mergeCell ref="F276:G276"/>
    <mergeCell ref="F277:G279"/>
    <mergeCell ref="A271:B271"/>
  </mergeCells>
  <conditionalFormatting sqref="F265:X266">
    <cfRule type="cellIs" dxfId="9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5"/>
  <sheetViews>
    <sheetView view="pageBreakPreview" zoomScaleNormal="100" zoomScaleSheetLayoutView="100" workbookViewId="0">
      <pane ySplit="78" topLeftCell="A252" activePane="bottomLeft" state="frozen"/>
      <selection pane="bottomLeft" activeCell="F258" sqref="F258"/>
    </sheetView>
  </sheetViews>
  <sheetFormatPr defaultColWidth="9.109375" defaultRowHeight="13.2" x14ac:dyDescent="0.25"/>
  <cols>
    <col min="1" max="1" width="7.109375" style="70" customWidth="1"/>
    <col min="2" max="2" width="37.44140625" style="49" customWidth="1"/>
    <col min="3" max="3" width="11.33203125" style="71" customWidth="1"/>
    <col min="4" max="4" width="10.44140625" style="72" customWidth="1"/>
    <col min="5" max="5" width="12.109375" style="73" customWidth="1"/>
    <col min="6" max="6" width="14.5546875" style="73" customWidth="1"/>
    <col min="7" max="7" width="13.5546875" style="49" customWidth="1"/>
    <col min="8" max="17" width="10.109375" style="49" hidden="1" customWidth="1"/>
    <col min="18" max="19" width="12.5546875" style="49" hidden="1" customWidth="1"/>
    <col min="20" max="22" width="10.109375" style="49" hidden="1" customWidth="1"/>
    <col min="23" max="24" width="9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293">
        <v>6.6666666666666697E-4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759</v>
      </c>
    </row>
    <row r="8" spans="1:27" x14ac:dyDescent="0.25">
      <c r="A8" s="70" t="s">
        <v>63</v>
      </c>
      <c r="C8" s="79" t="s">
        <v>834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836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22"/>
      <c r="D82" s="44"/>
      <c r="E82" s="14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136" t="s">
        <v>80</v>
      </c>
      <c r="B83" s="203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46" si="1">R83-F83</f>
        <v>0</v>
      </c>
      <c r="T83" s="231">
        <f t="shared" ref="T83:T146" si="2">IF(F83=0,0,S83/F83)</f>
        <v>0</v>
      </c>
      <c r="U83" s="225">
        <f t="shared" ref="U83:U146" si="3">R83*$C$4</f>
        <v>0</v>
      </c>
      <c r="V83" s="225">
        <f t="shared" ref="V83:V146" si="4">U83-G83</f>
        <v>0</v>
      </c>
      <c r="W83" s="231">
        <f t="shared" ref="W83:W146" si="5">IF(G83=0,0,V83/G83)</f>
        <v>0</v>
      </c>
      <c r="X83" s="231"/>
    </row>
    <row r="84" spans="1:24" hidden="1" x14ac:dyDescent="0.25">
      <c r="A84" s="139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139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15"/>
      <c r="D90" s="26"/>
      <c r="E90" s="27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106" t="s">
        <v>372</v>
      </c>
      <c r="C91" s="21" t="s">
        <v>373</v>
      </c>
      <c r="D91" s="25">
        <v>12</v>
      </c>
      <c r="E91" s="18">
        <v>2500000</v>
      </c>
      <c r="F91" s="48">
        <f t="shared" ref="F91:F96" si="6">D91*E91</f>
        <v>30000000</v>
      </c>
      <c r="G91" s="295">
        <f>F91*C4</f>
        <v>20000.000000000007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-30000000</v>
      </c>
      <c r="T91" s="231">
        <f t="shared" si="2"/>
        <v>-1</v>
      </c>
      <c r="U91" s="225">
        <f t="shared" si="3"/>
        <v>0</v>
      </c>
      <c r="V91" s="225">
        <f t="shared" si="4"/>
        <v>-20000.000000000007</v>
      </c>
      <c r="W91" s="231">
        <f t="shared" si="5"/>
        <v>-1</v>
      </c>
      <c r="X91" s="231"/>
    </row>
    <row r="92" spans="1:24" x14ac:dyDescent="0.25">
      <c r="A92" s="144" t="s">
        <v>88</v>
      </c>
      <c r="B92" s="106" t="s">
        <v>374</v>
      </c>
      <c r="C92" s="21" t="s">
        <v>373</v>
      </c>
      <c r="D92" s="25">
        <v>12</v>
      </c>
      <c r="E92" s="18">
        <v>2800000</v>
      </c>
      <c r="F92" s="48">
        <f t="shared" si="6"/>
        <v>33600000</v>
      </c>
      <c r="G92" s="295">
        <f>F92*C4</f>
        <v>22400.000000000011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-33600000</v>
      </c>
      <c r="T92" s="231">
        <f t="shared" si="2"/>
        <v>-1</v>
      </c>
      <c r="U92" s="225">
        <f t="shared" si="3"/>
        <v>0</v>
      </c>
      <c r="V92" s="225">
        <f t="shared" si="4"/>
        <v>-22400.000000000011</v>
      </c>
      <c r="W92" s="231">
        <f t="shared" si="5"/>
        <v>-1</v>
      </c>
      <c r="X92" s="231"/>
    </row>
    <row r="93" spans="1:24" hidden="1" x14ac:dyDescent="0.25">
      <c r="A93" s="144" t="s">
        <v>89</v>
      </c>
      <c r="B93" s="106"/>
      <c r="C93" s="21"/>
      <c r="D93" s="25"/>
      <c r="E93" s="18"/>
      <c r="F93" s="48">
        <f t="shared" si="6"/>
        <v>0</v>
      </c>
      <c r="G93" s="49">
        <f>F93*C4</f>
        <v>0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0</v>
      </c>
      <c r="T93" s="231">
        <f t="shared" si="2"/>
        <v>0</v>
      </c>
      <c r="U93" s="225">
        <f t="shared" si="3"/>
        <v>0</v>
      </c>
      <c r="V93" s="225">
        <f t="shared" si="4"/>
        <v>0</v>
      </c>
      <c r="W93" s="231">
        <f t="shared" si="5"/>
        <v>0</v>
      </c>
      <c r="X93" s="231"/>
    </row>
    <row r="94" spans="1:24" hidden="1" x14ac:dyDescent="0.25">
      <c r="A94" s="144" t="s">
        <v>90</v>
      </c>
      <c r="B94" s="106"/>
      <c r="C94" s="21"/>
      <c r="D94" s="25"/>
      <c r="E94" s="18"/>
      <c r="F94" s="48">
        <f t="shared" si="6"/>
        <v>0</v>
      </c>
      <c r="G94" s="49">
        <f>F94*C4</f>
        <v>0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0</v>
      </c>
      <c r="T94" s="231">
        <f t="shared" si="2"/>
        <v>0</v>
      </c>
      <c r="U94" s="225">
        <f t="shared" si="3"/>
        <v>0</v>
      </c>
      <c r="V94" s="225">
        <f t="shared" si="4"/>
        <v>0</v>
      </c>
      <c r="W94" s="231">
        <f t="shared" si="5"/>
        <v>0</v>
      </c>
      <c r="X94" s="231"/>
    </row>
    <row r="95" spans="1:24" hidden="1" x14ac:dyDescent="0.25">
      <c r="A95" s="144" t="s">
        <v>91</v>
      </c>
      <c r="B95" s="106"/>
      <c r="C95" s="21"/>
      <c r="D95" s="25"/>
      <c r="E95" s="18"/>
      <c r="F95" s="48">
        <f t="shared" si="6"/>
        <v>0</v>
      </c>
      <c r="G95" s="49">
        <f>F95*C4</f>
        <v>0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0</v>
      </c>
      <c r="T95" s="231">
        <f t="shared" si="2"/>
        <v>0</v>
      </c>
      <c r="U95" s="225">
        <f t="shared" si="3"/>
        <v>0</v>
      </c>
      <c r="V95" s="225">
        <f t="shared" si="4"/>
        <v>0</v>
      </c>
      <c r="W95" s="231">
        <f t="shared" si="5"/>
        <v>0</v>
      </c>
      <c r="X95" s="231"/>
    </row>
    <row r="96" spans="1:24" hidden="1" x14ac:dyDescent="0.25">
      <c r="A96" s="144" t="s">
        <v>92</v>
      </c>
      <c r="B96" s="106"/>
      <c r="C96" s="21"/>
      <c r="D96" s="25"/>
      <c r="E96" s="18"/>
      <c r="F96" s="48">
        <f t="shared" si="6"/>
        <v>0</v>
      </c>
      <c r="G96" s="49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185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hidden="1" x14ac:dyDescent="0.25">
      <c r="A99" s="194"/>
      <c r="B99" s="195" t="s">
        <v>186</v>
      </c>
      <c r="C99" s="196"/>
      <c r="D99" s="197"/>
      <c r="E99" s="198"/>
      <c r="F99" s="199">
        <f>SUM(F91:F97)</f>
        <v>63600000</v>
      </c>
      <c r="G99" s="194">
        <f>SUM(G91:G97)</f>
        <v>42400.000000000015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-63600000</v>
      </c>
      <c r="T99" s="231">
        <f t="shared" si="2"/>
        <v>-1</v>
      </c>
      <c r="U99" s="225">
        <f t="shared" si="3"/>
        <v>0</v>
      </c>
      <c r="V99" s="225">
        <f t="shared" si="4"/>
        <v>-42400.000000000015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63600000</v>
      </c>
      <c r="G100" s="50">
        <f>SUM(G81+G83+G84+G85+G86+G87+G88+G91+G92+G93+G94+G95+G96)</f>
        <v>42400.000000000015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-63600000</v>
      </c>
      <c r="T100" s="238">
        <f t="shared" si="2"/>
        <v>-1</v>
      </c>
      <c r="U100" s="237">
        <f t="shared" si="3"/>
        <v>0</v>
      </c>
      <c r="V100" s="237">
        <f t="shared" si="4"/>
        <v>-42400.000000000015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x14ac:dyDescent="0.25">
      <c r="A103" s="220" t="s">
        <v>94</v>
      </c>
      <c r="B103" s="221" t="s">
        <v>66</v>
      </c>
      <c r="C103" s="213"/>
      <c r="D103" s="214"/>
      <c r="E103" s="215"/>
      <c r="F103" s="208">
        <f>SUM(F104:F108)</f>
        <v>162000000</v>
      </c>
      <c r="G103" s="315">
        <f>SUM(G104:G108)</f>
        <v>108000.00000000004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-162000000</v>
      </c>
      <c r="T103" s="240">
        <f t="shared" si="2"/>
        <v>-1</v>
      </c>
      <c r="U103" s="239">
        <f t="shared" si="3"/>
        <v>0</v>
      </c>
      <c r="V103" s="239">
        <f t="shared" si="4"/>
        <v>-108000.00000000004</v>
      </c>
      <c r="W103" s="240">
        <f t="shared" si="5"/>
        <v>-1</v>
      </c>
      <c r="X103" s="240"/>
    </row>
    <row r="104" spans="1:24" ht="39.6" x14ac:dyDescent="0.25">
      <c r="A104" s="148" t="s">
        <v>195</v>
      </c>
      <c r="B104" s="365" t="s">
        <v>859</v>
      </c>
      <c r="C104" s="28" t="s">
        <v>802</v>
      </c>
      <c r="D104" s="29">
        <v>45</v>
      </c>
      <c r="E104" s="30">
        <v>3600000</v>
      </c>
      <c r="F104" s="48">
        <f>D104*E104</f>
        <v>162000000</v>
      </c>
      <c r="G104" s="295">
        <f>F104*C4</f>
        <v>108000.00000000004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-162000000</v>
      </c>
      <c r="T104" s="231">
        <f t="shared" si="2"/>
        <v>-1</v>
      </c>
      <c r="U104" s="225">
        <f t="shared" si="3"/>
        <v>0</v>
      </c>
      <c r="V104" s="225">
        <f t="shared" si="4"/>
        <v>-108000.00000000004</v>
      </c>
      <c r="W104" s="231">
        <f t="shared" si="5"/>
        <v>-1</v>
      </c>
      <c r="X104" s="231"/>
    </row>
    <row r="105" spans="1:24" hidden="1" x14ac:dyDescent="0.25">
      <c r="A105" s="148" t="s">
        <v>196</v>
      </c>
      <c r="B105" s="106" t="s">
        <v>250</v>
      </c>
      <c r="C105" s="28"/>
      <c r="D105" s="29"/>
      <c r="E105" s="30"/>
      <c r="F105" s="48">
        <f>D105*E105</f>
        <v>0</v>
      </c>
      <c r="G105" s="295">
        <f>F105*C4</f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0</v>
      </c>
      <c r="T105" s="231">
        <f t="shared" si="2"/>
        <v>0</v>
      </c>
      <c r="U105" s="225">
        <f t="shared" si="3"/>
        <v>0</v>
      </c>
      <c r="V105" s="225">
        <f t="shared" si="4"/>
        <v>0</v>
      </c>
      <c r="W105" s="231">
        <f t="shared" si="5"/>
        <v>0</v>
      </c>
      <c r="X105" s="231"/>
    </row>
    <row r="106" spans="1:24" hidden="1" x14ac:dyDescent="0.25">
      <c r="A106" s="148" t="s">
        <v>197</v>
      </c>
      <c r="B106" s="106" t="s">
        <v>251</v>
      </c>
      <c r="C106" s="28"/>
      <c r="D106" s="29"/>
      <c r="E106" s="30"/>
      <c r="F106" s="48">
        <f>D106*E106</f>
        <v>0</v>
      </c>
      <c r="G106" s="295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295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295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x14ac:dyDescent="0.25">
      <c r="A109" s="220" t="s">
        <v>95</v>
      </c>
      <c r="B109" s="221" t="s">
        <v>55</v>
      </c>
      <c r="C109" s="213"/>
      <c r="D109" s="214"/>
      <c r="E109" s="215"/>
      <c r="F109" s="208">
        <f>SUM(F110:F114)</f>
        <v>72000000</v>
      </c>
      <c r="G109" s="315">
        <f>SUM(G110:G114)</f>
        <v>48000.000000000022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-72000000</v>
      </c>
      <c r="T109" s="240">
        <f t="shared" si="2"/>
        <v>-1</v>
      </c>
      <c r="U109" s="239">
        <f t="shared" si="3"/>
        <v>0</v>
      </c>
      <c r="V109" s="239">
        <f t="shared" si="4"/>
        <v>-48000.000000000022</v>
      </c>
      <c r="W109" s="240">
        <f t="shared" si="5"/>
        <v>-1</v>
      </c>
      <c r="X109" s="240"/>
    </row>
    <row r="110" spans="1:24" x14ac:dyDescent="0.25">
      <c r="A110" s="148" t="s">
        <v>200</v>
      </c>
      <c r="B110" s="106" t="s">
        <v>375</v>
      </c>
      <c r="C110" s="28" t="s">
        <v>376</v>
      </c>
      <c r="D110" s="29">
        <v>1200</v>
      </c>
      <c r="E110" s="30">
        <v>60000</v>
      </c>
      <c r="F110" s="48">
        <f>D110*E110</f>
        <v>72000000</v>
      </c>
      <c r="G110" s="295">
        <f>F110*C4</f>
        <v>48000.000000000022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-72000000</v>
      </c>
      <c r="T110" s="231">
        <f t="shared" si="2"/>
        <v>-1</v>
      </c>
      <c r="U110" s="225">
        <f t="shared" si="3"/>
        <v>0</v>
      </c>
      <c r="V110" s="225">
        <f t="shared" si="4"/>
        <v>-48000.000000000022</v>
      </c>
      <c r="W110" s="231">
        <f t="shared" si="5"/>
        <v>-1</v>
      </c>
      <c r="X110" s="231"/>
    </row>
    <row r="111" spans="1:24" hidden="1" x14ac:dyDescent="0.25">
      <c r="A111" s="148" t="s">
        <v>201</v>
      </c>
      <c r="B111" s="106" t="s">
        <v>258</v>
      </c>
      <c r="C111" s="28"/>
      <c r="D111" s="29"/>
      <c r="E111" s="30"/>
      <c r="F111" s="48">
        <f>D111*E111</f>
        <v>0</v>
      </c>
      <c r="G111" s="295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148" t="s">
        <v>202</v>
      </c>
      <c r="B112" s="106" t="s">
        <v>257</v>
      </c>
      <c r="C112" s="28"/>
      <c r="D112" s="29"/>
      <c r="E112" s="30"/>
      <c r="F112" s="48">
        <f>D112*E112</f>
        <v>0</v>
      </c>
      <c r="G112" s="295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hidden="1" x14ac:dyDescent="0.25">
      <c r="A113" s="148" t="s">
        <v>203</v>
      </c>
      <c r="B113" s="106" t="s">
        <v>256</v>
      </c>
      <c r="C113" s="28"/>
      <c r="D113" s="29"/>
      <c r="E113" s="30"/>
      <c r="F113" s="48">
        <f>D113*E113</f>
        <v>0</v>
      </c>
      <c r="G113" s="295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204</v>
      </c>
      <c r="B114" s="106" t="s">
        <v>255</v>
      </c>
      <c r="C114" s="28"/>
      <c r="D114" s="29"/>
      <c r="E114" s="30"/>
      <c r="F114" s="48">
        <f>D114*E114</f>
        <v>0</v>
      </c>
      <c r="G114" s="295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x14ac:dyDescent="0.25">
      <c r="A115" s="220" t="s">
        <v>96</v>
      </c>
      <c r="B115" s="221" t="s">
        <v>67</v>
      </c>
      <c r="C115" s="213"/>
      <c r="D115" s="214"/>
      <c r="E115" s="215"/>
      <c r="F115" s="208">
        <f>SUM(F116:F120)</f>
        <v>48000000</v>
      </c>
      <c r="G115" s="315">
        <f>SUM(G116:G120)</f>
        <v>32000.000000000015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39">
        <f t="shared" si="1"/>
        <v>-48000000</v>
      </c>
      <c r="T115" s="240">
        <f t="shared" si="2"/>
        <v>-1</v>
      </c>
      <c r="U115" s="239">
        <f t="shared" si="3"/>
        <v>0</v>
      </c>
      <c r="V115" s="239">
        <f t="shared" si="4"/>
        <v>-32000.000000000015</v>
      </c>
      <c r="W115" s="240">
        <f t="shared" si="5"/>
        <v>-1</v>
      </c>
      <c r="X115" s="240"/>
    </row>
    <row r="116" spans="1:24" x14ac:dyDescent="0.25">
      <c r="A116" s="148" t="s">
        <v>205</v>
      </c>
      <c r="B116" s="106" t="s">
        <v>803</v>
      </c>
      <c r="C116" s="28" t="s">
        <v>376</v>
      </c>
      <c r="D116" s="29">
        <v>1200</v>
      </c>
      <c r="E116" s="30">
        <v>40000</v>
      </c>
      <c r="F116" s="48">
        <f>D116*E116</f>
        <v>48000000</v>
      </c>
      <c r="G116" s="295">
        <f>F116*C4</f>
        <v>32000.000000000015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-48000000</v>
      </c>
      <c r="T116" s="231">
        <f t="shared" si="2"/>
        <v>-1</v>
      </c>
      <c r="U116" s="225">
        <f t="shared" si="3"/>
        <v>0</v>
      </c>
      <c r="V116" s="225">
        <f t="shared" si="4"/>
        <v>-32000.000000000015</v>
      </c>
      <c r="W116" s="231">
        <f t="shared" si="5"/>
        <v>-1</v>
      </c>
      <c r="X116" s="231"/>
    </row>
    <row r="117" spans="1:24" hidden="1" x14ac:dyDescent="0.25">
      <c r="A117" s="148" t="s">
        <v>206</v>
      </c>
      <c r="B117" s="106" t="s">
        <v>260</v>
      </c>
      <c r="C117" s="28"/>
      <c r="D117" s="29"/>
      <c r="E117" s="30"/>
      <c r="F117" s="48">
        <f>D117*E117</f>
        <v>0</v>
      </c>
      <c r="G117" s="295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148" t="s">
        <v>207</v>
      </c>
      <c r="B118" s="106" t="s">
        <v>261</v>
      </c>
      <c r="C118" s="28"/>
      <c r="D118" s="29"/>
      <c r="E118" s="30"/>
      <c r="F118" s="48">
        <f>D118*E118</f>
        <v>0</v>
      </c>
      <c r="G118" s="295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208</v>
      </c>
      <c r="B119" s="106" t="s">
        <v>262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209</v>
      </c>
      <c r="B120" s="106" t="s">
        <v>263</v>
      </c>
      <c r="C120" s="28"/>
      <c r="D120" s="29"/>
      <c r="E120" s="30"/>
      <c r="F120" s="48">
        <f>D120*E120</f>
        <v>0</v>
      </c>
      <c r="G120" s="295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hidden="1" x14ac:dyDescent="0.25">
      <c r="A121" s="220" t="s">
        <v>97</v>
      </c>
      <c r="B121" s="221" t="s">
        <v>68</v>
      </c>
      <c r="C121" s="213"/>
      <c r="D121" s="214"/>
      <c r="E121" s="215"/>
      <c r="F121" s="208">
        <f>SUM(F122:F126)</f>
        <v>0</v>
      </c>
      <c r="G121" s="315">
        <f>SUM(G122:G126)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39">
        <f t="shared" si="1"/>
        <v>0</v>
      </c>
      <c r="T121" s="240">
        <f t="shared" si="2"/>
        <v>0</v>
      </c>
      <c r="U121" s="239">
        <f t="shared" si="3"/>
        <v>0</v>
      </c>
      <c r="V121" s="239">
        <f t="shared" si="4"/>
        <v>0</v>
      </c>
      <c r="W121" s="240">
        <f t="shared" si="5"/>
        <v>0</v>
      </c>
      <c r="X121" s="240"/>
    </row>
    <row r="122" spans="1:24" hidden="1" x14ac:dyDescent="0.25">
      <c r="A122" s="148" t="s">
        <v>210</v>
      </c>
      <c r="B122" s="106" t="s">
        <v>264</v>
      </c>
      <c r="C122" s="28"/>
      <c r="D122" s="29"/>
      <c r="E122" s="30"/>
      <c r="F122" s="48">
        <f>D122*E122</f>
        <v>0</v>
      </c>
      <c r="G122" s="295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0</v>
      </c>
      <c r="T122" s="231">
        <f t="shared" si="2"/>
        <v>0</v>
      </c>
      <c r="U122" s="225">
        <f t="shared" si="3"/>
        <v>0</v>
      </c>
      <c r="V122" s="225">
        <f t="shared" si="4"/>
        <v>0</v>
      </c>
      <c r="W122" s="231">
        <f t="shared" si="5"/>
        <v>0</v>
      </c>
      <c r="X122" s="231"/>
    </row>
    <row r="123" spans="1:24" hidden="1" x14ac:dyDescent="0.25">
      <c r="A123" s="148" t="s">
        <v>211</v>
      </c>
      <c r="B123" s="106" t="s">
        <v>265</v>
      </c>
      <c r="C123" s="28"/>
      <c r="D123" s="29"/>
      <c r="E123" s="30"/>
      <c r="F123" s="48">
        <f>D123*E123</f>
        <v>0</v>
      </c>
      <c r="G123" s="295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0</v>
      </c>
      <c r="T123" s="231">
        <f t="shared" si="2"/>
        <v>0</v>
      </c>
      <c r="U123" s="225">
        <f t="shared" si="3"/>
        <v>0</v>
      </c>
      <c r="V123" s="225">
        <f t="shared" si="4"/>
        <v>0</v>
      </c>
      <c r="W123" s="231">
        <f t="shared" si="5"/>
        <v>0</v>
      </c>
      <c r="X123" s="231"/>
    </row>
    <row r="124" spans="1:24" hidden="1" x14ac:dyDescent="0.25">
      <c r="A124" s="148" t="s">
        <v>212</v>
      </c>
      <c r="B124" s="106" t="s">
        <v>266</v>
      </c>
      <c r="C124" s="28"/>
      <c r="D124" s="29"/>
      <c r="E124" s="30"/>
      <c r="F124" s="48">
        <f>D124*E124</f>
        <v>0</v>
      </c>
      <c r="G124" s="295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213</v>
      </c>
      <c r="B125" s="106" t="s">
        <v>267</v>
      </c>
      <c r="C125" s="28"/>
      <c r="D125" s="29"/>
      <c r="E125" s="30"/>
      <c r="F125" s="48">
        <f>D125*E125</f>
        <v>0</v>
      </c>
      <c r="G125" s="295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214</v>
      </c>
      <c r="B126" s="106" t="s">
        <v>268</v>
      </c>
      <c r="C126" s="28"/>
      <c r="D126" s="29"/>
      <c r="E126" s="30"/>
      <c r="F126" s="48">
        <f>D126*E126</f>
        <v>0</v>
      </c>
      <c r="G126" s="295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x14ac:dyDescent="0.25">
      <c r="A127" s="220" t="s">
        <v>98</v>
      </c>
      <c r="B127" s="221" t="s">
        <v>69</v>
      </c>
      <c r="C127" s="213"/>
      <c r="D127" s="214"/>
      <c r="E127" s="215"/>
      <c r="F127" s="208">
        <f>SUM(F128:F132)</f>
        <v>57000000</v>
      </c>
      <c r="G127" s="315">
        <f>SUM(G128:G132)</f>
        <v>38000.000000000015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39">
        <f t="shared" si="1"/>
        <v>-57000000</v>
      </c>
      <c r="T127" s="240">
        <f t="shared" si="2"/>
        <v>-1</v>
      </c>
      <c r="U127" s="239">
        <f t="shared" si="3"/>
        <v>0</v>
      </c>
      <c r="V127" s="239">
        <f t="shared" si="4"/>
        <v>-38000.000000000015</v>
      </c>
      <c r="W127" s="240">
        <f t="shared" si="5"/>
        <v>-1</v>
      </c>
      <c r="X127" s="240"/>
    </row>
    <row r="128" spans="1:24" x14ac:dyDescent="0.25">
      <c r="A128" s="148" t="s">
        <v>215</v>
      </c>
      <c r="B128" s="106" t="s">
        <v>377</v>
      </c>
      <c r="C128" s="28" t="s">
        <v>378</v>
      </c>
      <c r="D128" s="29">
        <v>30</v>
      </c>
      <c r="E128" s="30">
        <v>800000</v>
      </c>
      <c r="F128" s="48">
        <f>D128*E128</f>
        <v>24000000</v>
      </c>
      <c r="G128" s="295">
        <f>F128*C4</f>
        <v>16000.000000000007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-24000000</v>
      </c>
      <c r="T128" s="231">
        <f t="shared" si="2"/>
        <v>-1</v>
      </c>
      <c r="U128" s="225">
        <f t="shared" si="3"/>
        <v>0</v>
      </c>
      <c r="V128" s="225">
        <f t="shared" si="4"/>
        <v>-16000.000000000007</v>
      </c>
      <c r="W128" s="231">
        <f t="shared" si="5"/>
        <v>-1</v>
      </c>
      <c r="X128" s="231"/>
    </row>
    <row r="129" spans="1:24" x14ac:dyDescent="0.25">
      <c r="A129" s="148" t="s">
        <v>216</v>
      </c>
      <c r="B129" s="106" t="s">
        <v>379</v>
      </c>
      <c r="C129" s="28" t="s">
        <v>380</v>
      </c>
      <c r="D129" s="29">
        <v>80</v>
      </c>
      <c r="E129" s="30">
        <v>300000</v>
      </c>
      <c r="F129" s="48">
        <f>D129*E129</f>
        <v>24000000</v>
      </c>
      <c r="G129" s="295">
        <f>F129*C4</f>
        <v>16000.000000000007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-24000000</v>
      </c>
      <c r="T129" s="231">
        <f t="shared" si="2"/>
        <v>-1</v>
      </c>
      <c r="U129" s="225">
        <f t="shared" si="3"/>
        <v>0</v>
      </c>
      <c r="V129" s="225">
        <f t="shared" si="4"/>
        <v>-16000.000000000007</v>
      </c>
      <c r="W129" s="231">
        <f t="shared" si="5"/>
        <v>-1</v>
      </c>
      <c r="X129" s="231"/>
    </row>
    <row r="130" spans="1:24" x14ac:dyDescent="0.25">
      <c r="A130" s="148" t="s">
        <v>217</v>
      </c>
      <c r="B130" s="106" t="s">
        <v>808</v>
      </c>
      <c r="C130" s="28" t="s">
        <v>380</v>
      </c>
      <c r="D130" s="29">
        <v>1</v>
      </c>
      <c r="E130" s="30">
        <v>9000000</v>
      </c>
      <c r="F130" s="48">
        <f>D130*E130</f>
        <v>9000000</v>
      </c>
      <c r="G130" s="295">
        <f>F130*C4</f>
        <v>6000.0000000000027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-9000000</v>
      </c>
      <c r="T130" s="231">
        <f t="shared" si="2"/>
        <v>-1</v>
      </c>
      <c r="U130" s="225">
        <f t="shared" si="3"/>
        <v>0</v>
      </c>
      <c r="V130" s="225">
        <f t="shared" si="4"/>
        <v>-6000.0000000000027</v>
      </c>
      <c r="W130" s="231">
        <f t="shared" si="5"/>
        <v>-1</v>
      </c>
      <c r="X130" s="231"/>
    </row>
    <row r="131" spans="1:24" hidden="1" x14ac:dyDescent="0.25">
      <c r="A131" s="148" t="s">
        <v>218</v>
      </c>
      <c r="B131" s="106" t="s">
        <v>272</v>
      </c>
      <c r="C131" s="28"/>
      <c r="D131" s="29"/>
      <c r="E131" s="30"/>
      <c r="F131" s="48">
        <f>D131*E131</f>
        <v>0</v>
      </c>
      <c r="G131" s="295">
        <f>F131*C4</f>
        <v>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0</v>
      </c>
      <c r="T131" s="231">
        <f t="shared" si="2"/>
        <v>0</v>
      </c>
      <c r="U131" s="225">
        <f t="shared" si="3"/>
        <v>0</v>
      </c>
      <c r="V131" s="225">
        <f t="shared" si="4"/>
        <v>0</v>
      </c>
      <c r="W131" s="231">
        <f t="shared" si="5"/>
        <v>0</v>
      </c>
      <c r="X131" s="231"/>
    </row>
    <row r="132" spans="1:24" hidden="1" x14ac:dyDescent="0.25">
      <c r="A132" s="148" t="s">
        <v>219</v>
      </c>
      <c r="B132" s="106" t="s">
        <v>273</v>
      </c>
      <c r="C132" s="28"/>
      <c r="D132" s="29"/>
      <c r="E132" s="30"/>
      <c r="F132" s="48">
        <f>D132*E132</f>
        <v>0</v>
      </c>
      <c r="G132" s="295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hidden="1" x14ac:dyDescent="0.25">
      <c r="A133" s="220" t="s">
        <v>99</v>
      </c>
      <c r="B133" s="221" t="s">
        <v>54</v>
      </c>
      <c r="C133" s="213"/>
      <c r="D133" s="214"/>
      <c r="E133" s="215"/>
      <c r="F133" s="208">
        <f>SUM(F134:F138)</f>
        <v>0</v>
      </c>
      <c r="G133" s="315">
        <f>SUM(G134:G138)</f>
        <v>0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39">
        <f t="shared" si="1"/>
        <v>0</v>
      </c>
      <c r="T133" s="240">
        <f t="shared" si="2"/>
        <v>0</v>
      </c>
      <c r="U133" s="239">
        <f t="shared" si="3"/>
        <v>0</v>
      </c>
      <c r="V133" s="239">
        <f t="shared" si="4"/>
        <v>0</v>
      </c>
      <c r="W133" s="240">
        <f t="shared" si="5"/>
        <v>0</v>
      </c>
      <c r="X133" s="240"/>
    </row>
    <row r="134" spans="1:24" hidden="1" x14ac:dyDescent="0.25">
      <c r="A134" s="148" t="s">
        <v>220</v>
      </c>
      <c r="B134" s="106" t="s">
        <v>274</v>
      </c>
      <c r="C134" s="28"/>
      <c r="D134" s="29"/>
      <c r="E134" s="30"/>
      <c r="F134" s="48">
        <f>D134*E134</f>
        <v>0</v>
      </c>
      <c r="G134" s="295">
        <f>F134*C4</f>
        <v>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0</v>
      </c>
      <c r="T134" s="231">
        <f t="shared" si="2"/>
        <v>0</v>
      </c>
      <c r="U134" s="225">
        <f t="shared" si="3"/>
        <v>0</v>
      </c>
      <c r="V134" s="225">
        <f t="shared" si="4"/>
        <v>0</v>
      </c>
      <c r="W134" s="231">
        <f t="shared" si="5"/>
        <v>0</v>
      </c>
      <c r="X134" s="231"/>
    </row>
    <row r="135" spans="1:24" hidden="1" x14ac:dyDescent="0.25">
      <c r="A135" s="148" t="s">
        <v>221</v>
      </c>
      <c r="B135" s="106" t="s">
        <v>275</v>
      </c>
      <c r="C135" s="28"/>
      <c r="D135" s="29"/>
      <c r="E135" s="30"/>
      <c r="F135" s="48">
        <f>D135*E135</f>
        <v>0</v>
      </c>
      <c r="G135" s="295">
        <f>F135*C4</f>
        <v>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0</v>
      </c>
      <c r="T135" s="231">
        <f t="shared" si="2"/>
        <v>0</v>
      </c>
      <c r="U135" s="225">
        <f t="shared" si="3"/>
        <v>0</v>
      </c>
      <c r="V135" s="225">
        <f t="shared" si="4"/>
        <v>0</v>
      </c>
      <c r="W135" s="231">
        <f t="shared" si="5"/>
        <v>0</v>
      </c>
      <c r="X135" s="231"/>
    </row>
    <row r="136" spans="1:24" hidden="1" x14ac:dyDescent="0.25">
      <c r="A136" s="148" t="s">
        <v>222</v>
      </c>
      <c r="B136" s="106" t="s">
        <v>276</v>
      </c>
      <c r="C136" s="28"/>
      <c r="D136" s="29"/>
      <c r="E136" s="30"/>
      <c r="F136" s="48">
        <f>D136*E136</f>
        <v>0</v>
      </c>
      <c r="G136" s="295">
        <f>F136*C4</f>
        <v>0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0</v>
      </c>
      <c r="T136" s="231">
        <f t="shared" si="2"/>
        <v>0</v>
      </c>
      <c r="U136" s="225">
        <f t="shared" si="3"/>
        <v>0</v>
      </c>
      <c r="V136" s="225">
        <f t="shared" si="4"/>
        <v>0</v>
      </c>
      <c r="W136" s="231">
        <f t="shared" si="5"/>
        <v>0</v>
      </c>
      <c r="X136" s="231"/>
    </row>
    <row r="137" spans="1:24" hidden="1" x14ac:dyDescent="0.25">
      <c r="A137" s="148" t="s">
        <v>223</v>
      </c>
      <c r="B137" s="106" t="s">
        <v>277</v>
      </c>
      <c r="C137" s="28"/>
      <c r="D137" s="29"/>
      <c r="E137" s="30"/>
      <c r="F137" s="48">
        <f>D137*E137</f>
        <v>0</v>
      </c>
      <c r="G137" s="295">
        <f>F137*C4</f>
        <v>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0</v>
      </c>
      <c r="T137" s="231">
        <f t="shared" si="2"/>
        <v>0</v>
      </c>
      <c r="U137" s="225">
        <f t="shared" si="3"/>
        <v>0</v>
      </c>
      <c r="V137" s="225">
        <f t="shared" si="4"/>
        <v>0</v>
      </c>
      <c r="W137" s="231">
        <f t="shared" si="5"/>
        <v>0</v>
      </c>
      <c r="X137" s="231"/>
    </row>
    <row r="138" spans="1:24" hidden="1" x14ac:dyDescent="0.25">
      <c r="A138" s="148" t="s">
        <v>224</v>
      </c>
      <c r="B138" s="106" t="s">
        <v>278</v>
      </c>
      <c r="C138" s="28"/>
      <c r="D138" s="29"/>
      <c r="E138" s="30"/>
      <c r="F138" s="48">
        <f>D138*E138</f>
        <v>0</v>
      </c>
      <c r="G138" s="295">
        <f>F138*C4</f>
        <v>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0</v>
      </c>
      <c r="T138" s="231">
        <f t="shared" si="2"/>
        <v>0</v>
      </c>
      <c r="U138" s="225">
        <f t="shared" si="3"/>
        <v>0</v>
      </c>
      <c r="V138" s="225">
        <f t="shared" si="4"/>
        <v>0</v>
      </c>
      <c r="W138" s="231">
        <f t="shared" si="5"/>
        <v>0</v>
      </c>
      <c r="X138" s="231"/>
    </row>
    <row r="139" spans="1:24" x14ac:dyDescent="0.25">
      <c r="A139" s="220" t="s">
        <v>100</v>
      </c>
      <c r="B139" s="221" t="s">
        <v>53</v>
      </c>
      <c r="C139" s="213"/>
      <c r="D139" s="214"/>
      <c r="E139" s="215"/>
      <c r="F139" s="208">
        <f>SUM(F140:F144)</f>
        <v>361000000</v>
      </c>
      <c r="G139" s="315">
        <f>SUM(G140:G144)</f>
        <v>240666.66666666674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39">
        <f t="shared" si="1"/>
        <v>-361000000</v>
      </c>
      <c r="T139" s="240">
        <f t="shared" si="2"/>
        <v>-1</v>
      </c>
      <c r="U139" s="239">
        <f t="shared" si="3"/>
        <v>0</v>
      </c>
      <c r="V139" s="239">
        <f t="shared" si="4"/>
        <v>-240666.66666666674</v>
      </c>
      <c r="W139" s="240">
        <f t="shared" si="5"/>
        <v>-1</v>
      </c>
      <c r="X139" s="240"/>
    </row>
    <row r="140" spans="1:24" x14ac:dyDescent="0.25">
      <c r="A140" s="148" t="s">
        <v>225</v>
      </c>
      <c r="B140" s="106" t="s">
        <v>381</v>
      </c>
      <c r="C140" s="28" t="s">
        <v>386</v>
      </c>
      <c r="D140" s="29">
        <v>330</v>
      </c>
      <c r="E140" s="30">
        <v>500000</v>
      </c>
      <c r="F140" s="48">
        <f>D140*E140</f>
        <v>165000000</v>
      </c>
      <c r="G140" s="295">
        <f>F140*C4</f>
        <v>110000.00000000004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1"/>
        <v>-165000000</v>
      </c>
      <c r="T140" s="231">
        <f t="shared" si="2"/>
        <v>-1</v>
      </c>
      <c r="U140" s="225">
        <f t="shared" si="3"/>
        <v>0</v>
      </c>
      <c r="V140" s="225">
        <f t="shared" si="4"/>
        <v>-110000.00000000004</v>
      </c>
      <c r="W140" s="231">
        <f t="shared" si="5"/>
        <v>-1</v>
      </c>
      <c r="X140" s="231"/>
    </row>
    <row r="141" spans="1:24" x14ac:dyDescent="0.25">
      <c r="A141" s="148" t="s">
        <v>226</v>
      </c>
      <c r="B141" s="106" t="s">
        <v>382</v>
      </c>
      <c r="C141" s="28" t="s">
        <v>386</v>
      </c>
      <c r="D141" s="29">
        <v>220</v>
      </c>
      <c r="E141" s="30">
        <v>400000</v>
      </c>
      <c r="F141" s="48">
        <f>D141*E141</f>
        <v>88000000</v>
      </c>
      <c r="G141" s="295">
        <f>F141*C4</f>
        <v>58666.666666666693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-88000000</v>
      </c>
      <c r="T141" s="231">
        <f t="shared" si="2"/>
        <v>-1</v>
      </c>
      <c r="U141" s="225">
        <f t="shared" si="3"/>
        <v>0</v>
      </c>
      <c r="V141" s="225">
        <f t="shared" si="4"/>
        <v>-58666.666666666693</v>
      </c>
      <c r="W141" s="231">
        <f t="shared" si="5"/>
        <v>-1</v>
      </c>
      <c r="X141" s="231"/>
    </row>
    <row r="142" spans="1:24" x14ac:dyDescent="0.25">
      <c r="A142" s="148" t="s">
        <v>227</v>
      </c>
      <c r="B142" s="106" t="s">
        <v>383</v>
      </c>
      <c r="C142" s="28" t="s">
        <v>386</v>
      </c>
      <c r="D142" s="29">
        <v>90</v>
      </c>
      <c r="E142" s="30">
        <v>400000</v>
      </c>
      <c r="F142" s="48">
        <f>D142*E142</f>
        <v>36000000</v>
      </c>
      <c r="G142" s="295">
        <f>F142*C4</f>
        <v>24000.000000000011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1"/>
        <v>-36000000</v>
      </c>
      <c r="T142" s="231">
        <f t="shared" si="2"/>
        <v>-1</v>
      </c>
      <c r="U142" s="225">
        <f t="shared" si="3"/>
        <v>0</v>
      </c>
      <c r="V142" s="225">
        <f t="shared" si="4"/>
        <v>-24000.000000000011</v>
      </c>
      <c r="W142" s="231">
        <f t="shared" si="5"/>
        <v>-1</v>
      </c>
      <c r="X142" s="231"/>
    </row>
    <row r="143" spans="1:24" x14ac:dyDescent="0.25">
      <c r="A143" s="148" t="s">
        <v>228</v>
      </c>
      <c r="B143" s="106" t="s">
        <v>384</v>
      </c>
      <c r="C143" s="28" t="s">
        <v>387</v>
      </c>
      <c r="D143" s="29">
        <v>4</v>
      </c>
      <c r="E143" s="368">
        <v>12000000</v>
      </c>
      <c r="F143" s="48">
        <f>D143*E143</f>
        <v>48000000</v>
      </c>
      <c r="G143" s="295">
        <f>F143*C4</f>
        <v>32000.000000000015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-48000000</v>
      </c>
      <c r="T143" s="231">
        <f t="shared" si="2"/>
        <v>-1</v>
      </c>
      <c r="U143" s="225">
        <f t="shared" si="3"/>
        <v>0</v>
      </c>
      <c r="V143" s="225">
        <f t="shared" si="4"/>
        <v>-32000.000000000015</v>
      </c>
      <c r="W143" s="231">
        <f t="shared" si="5"/>
        <v>-1</v>
      </c>
      <c r="X143" s="231"/>
    </row>
    <row r="144" spans="1:24" x14ac:dyDescent="0.25">
      <c r="A144" s="148" t="s">
        <v>229</v>
      </c>
      <c r="B144" s="106" t="s">
        <v>385</v>
      </c>
      <c r="C144" s="28" t="s">
        <v>388</v>
      </c>
      <c r="D144" s="29">
        <v>3</v>
      </c>
      <c r="E144" s="30">
        <v>8000000</v>
      </c>
      <c r="F144" s="48">
        <f>D144*E144</f>
        <v>24000000</v>
      </c>
      <c r="G144" s="295">
        <f>F144*C4</f>
        <v>16000.000000000007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-24000000</v>
      </c>
      <c r="T144" s="231">
        <f t="shared" si="2"/>
        <v>-1</v>
      </c>
      <c r="U144" s="225">
        <f t="shared" si="3"/>
        <v>0</v>
      </c>
      <c r="V144" s="225">
        <f t="shared" si="4"/>
        <v>-16000.000000000007</v>
      </c>
      <c r="W144" s="231">
        <f t="shared" si="5"/>
        <v>-1</v>
      </c>
      <c r="X144" s="231"/>
    </row>
    <row r="145" spans="1:24" hidden="1" x14ac:dyDescent="0.25">
      <c r="A145" s="220" t="s">
        <v>101</v>
      </c>
      <c r="B145" s="221" t="s">
        <v>70</v>
      </c>
      <c r="C145" s="213"/>
      <c r="D145" s="214"/>
      <c r="E145" s="215"/>
      <c r="F145" s="208">
        <f>SUM(F146:F150)</f>
        <v>0</v>
      </c>
      <c r="G145" s="315">
        <f>SUM(G146:G150)</f>
        <v>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39">
        <f t="shared" si="1"/>
        <v>0</v>
      </c>
      <c r="T145" s="240">
        <f t="shared" si="2"/>
        <v>0</v>
      </c>
      <c r="U145" s="239">
        <f t="shared" si="3"/>
        <v>0</v>
      </c>
      <c r="V145" s="239">
        <f t="shared" si="4"/>
        <v>0</v>
      </c>
      <c r="W145" s="240">
        <f t="shared" si="5"/>
        <v>0</v>
      </c>
      <c r="X145" s="240"/>
    </row>
    <row r="146" spans="1:24" hidden="1" x14ac:dyDescent="0.25">
      <c r="A146" s="148" t="s">
        <v>230</v>
      </c>
      <c r="B146" s="106" t="s">
        <v>284</v>
      </c>
      <c r="C146" s="28"/>
      <c r="D146" s="29"/>
      <c r="E146" s="30"/>
      <c r="F146" s="48">
        <f>D146*E146</f>
        <v>0</v>
      </c>
      <c r="G146" s="295">
        <f>F146*C4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1"/>
        <v>0</v>
      </c>
      <c r="T146" s="231">
        <f t="shared" si="2"/>
        <v>0</v>
      </c>
      <c r="U146" s="225">
        <f t="shared" si="3"/>
        <v>0</v>
      </c>
      <c r="V146" s="225">
        <f t="shared" si="4"/>
        <v>0</v>
      </c>
      <c r="W146" s="231">
        <f t="shared" si="5"/>
        <v>0</v>
      </c>
      <c r="X146" s="231"/>
    </row>
    <row r="147" spans="1:24" hidden="1" x14ac:dyDescent="0.25">
      <c r="A147" s="148" t="s">
        <v>231</v>
      </c>
      <c r="B147" s="106" t="s">
        <v>285</v>
      </c>
      <c r="C147" s="28"/>
      <c r="D147" s="29"/>
      <c r="E147" s="30"/>
      <c r="F147" s="48">
        <f>D147*E147</f>
        <v>0</v>
      </c>
      <c r="G147" s="295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ref="S147:S210" si="7">R147-F147</f>
        <v>0</v>
      </c>
      <c r="T147" s="231">
        <f t="shared" ref="T147:T210" si="8">IF(F147=0,0,S147/F147)</f>
        <v>0</v>
      </c>
      <c r="U147" s="225">
        <f t="shared" ref="U147:U210" si="9">R147*$C$4</f>
        <v>0</v>
      </c>
      <c r="V147" s="225">
        <f t="shared" ref="V147:V210" si="10">U147-G147</f>
        <v>0</v>
      </c>
      <c r="W147" s="231">
        <f t="shared" ref="W147:W210" si="11">IF(G147=0,0,V147/G147)</f>
        <v>0</v>
      </c>
      <c r="X147" s="231"/>
    </row>
    <row r="148" spans="1:24" hidden="1" x14ac:dyDescent="0.25">
      <c r="A148" s="148" t="s">
        <v>232</v>
      </c>
      <c r="B148" s="106" t="s">
        <v>286</v>
      </c>
      <c r="C148" s="28"/>
      <c r="D148" s="29"/>
      <c r="E148" s="30"/>
      <c r="F148" s="48">
        <f>D148*E148</f>
        <v>0</v>
      </c>
      <c r="G148" s="295">
        <f>F148*C4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si="7"/>
        <v>0</v>
      </c>
      <c r="T148" s="231">
        <f t="shared" si="8"/>
        <v>0</v>
      </c>
      <c r="U148" s="225">
        <f t="shared" si="9"/>
        <v>0</v>
      </c>
      <c r="V148" s="225">
        <f t="shared" si="10"/>
        <v>0</v>
      </c>
      <c r="W148" s="231">
        <f t="shared" si="11"/>
        <v>0</v>
      </c>
      <c r="X148" s="231"/>
    </row>
    <row r="149" spans="1:24" hidden="1" x14ac:dyDescent="0.25">
      <c r="A149" s="148" t="s">
        <v>233</v>
      </c>
      <c r="B149" s="106" t="s">
        <v>287</v>
      </c>
      <c r="C149" s="28"/>
      <c r="D149" s="29"/>
      <c r="E149" s="30"/>
      <c r="F149" s="48">
        <f>D149*E149</f>
        <v>0</v>
      </c>
      <c r="G149" s="295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7"/>
        <v>0</v>
      </c>
      <c r="T149" s="231">
        <f t="shared" si="8"/>
        <v>0</v>
      </c>
      <c r="U149" s="225">
        <f t="shared" si="9"/>
        <v>0</v>
      </c>
      <c r="V149" s="225">
        <f t="shared" si="10"/>
        <v>0</v>
      </c>
      <c r="W149" s="231">
        <f t="shared" si="11"/>
        <v>0</v>
      </c>
      <c r="X149" s="231"/>
    </row>
    <row r="150" spans="1:24" hidden="1" x14ac:dyDescent="0.25">
      <c r="A150" s="148" t="s">
        <v>234</v>
      </c>
      <c r="B150" s="106" t="s">
        <v>288</v>
      </c>
      <c r="C150" s="28"/>
      <c r="D150" s="29"/>
      <c r="E150" s="30"/>
      <c r="F150" s="48">
        <f>D150*E150</f>
        <v>0</v>
      </c>
      <c r="G150" s="295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7"/>
        <v>0</v>
      </c>
      <c r="T150" s="231">
        <f t="shared" si="8"/>
        <v>0</v>
      </c>
      <c r="U150" s="225">
        <f t="shared" si="9"/>
        <v>0</v>
      </c>
      <c r="V150" s="225">
        <f t="shared" si="10"/>
        <v>0</v>
      </c>
      <c r="W150" s="231">
        <f t="shared" si="11"/>
        <v>0</v>
      </c>
      <c r="X150" s="231"/>
    </row>
    <row r="151" spans="1:24" hidden="1" x14ac:dyDescent="0.25">
      <c r="A151" s="220" t="s">
        <v>102</v>
      </c>
      <c r="B151" s="221" t="s">
        <v>295</v>
      </c>
      <c r="C151" s="213"/>
      <c r="D151" s="214"/>
      <c r="E151" s="215"/>
      <c r="F151" s="208">
        <f>SUM(F152:F156)</f>
        <v>0</v>
      </c>
      <c r="G151" s="315">
        <f>SUM(G152:G156)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39">
        <f t="shared" si="7"/>
        <v>0</v>
      </c>
      <c r="T151" s="240">
        <f t="shared" si="8"/>
        <v>0</v>
      </c>
      <c r="U151" s="239">
        <f t="shared" si="9"/>
        <v>0</v>
      </c>
      <c r="V151" s="239">
        <f t="shared" si="10"/>
        <v>0</v>
      </c>
      <c r="W151" s="240">
        <f t="shared" si="11"/>
        <v>0</v>
      </c>
      <c r="X151" s="240"/>
    </row>
    <row r="152" spans="1:24" hidden="1" x14ac:dyDescent="0.25">
      <c r="A152" s="153" t="s">
        <v>235</v>
      </c>
      <c r="B152" s="106" t="s">
        <v>298</v>
      </c>
      <c r="C152" s="28"/>
      <c r="D152" s="29"/>
      <c r="E152" s="30"/>
      <c r="F152" s="48">
        <f>D152*E152</f>
        <v>0</v>
      </c>
      <c r="G152" s="295">
        <f>F152*C4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7"/>
        <v>0</v>
      </c>
      <c r="T152" s="231">
        <f t="shared" si="8"/>
        <v>0</v>
      </c>
      <c r="U152" s="225">
        <f t="shared" si="9"/>
        <v>0</v>
      </c>
      <c r="V152" s="225">
        <f t="shared" si="10"/>
        <v>0</v>
      </c>
      <c r="W152" s="231">
        <f t="shared" si="11"/>
        <v>0</v>
      </c>
      <c r="X152" s="231"/>
    </row>
    <row r="153" spans="1:24" hidden="1" x14ac:dyDescent="0.25">
      <c r="A153" s="153" t="s">
        <v>236</v>
      </c>
      <c r="B153" s="106" t="s">
        <v>299</v>
      </c>
      <c r="C153" s="28"/>
      <c r="D153" s="29"/>
      <c r="E153" s="30"/>
      <c r="F153" s="48">
        <f>D153*E153</f>
        <v>0</v>
      </c>
      <c r="G153" s="295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7"/>
        <v>0</v>
      </c>
      <c r="T153" s="231">
        <f t="shared" si="8"/>
        <v>0</v>
      </c>
      <c r="U153" s="225">
        <f t="shared" si="9"/>
        <v>0</v>
      </c>
      <c r="V153" s="225">
        <f t="shared" si="10"/>
        <v>0</v>
      </c>
      <c r="W153" s="231">
        <f t="shared" si="11"/>
        <v>0</v>
      </c>
      <c r="X153" s="231"/>
    </row>
    <row r="154" spans="1:24" hidden="1" x14ac:dyDescent="0.25">
      <c r="A154" s="153" t="s">
        <v>237</v>
      </c>
      <c r="B154" s="106" t="s">
        <v>300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7"/>
        <v>0</v>
      </c>
      <c r="T154" s="231">
        <f t="shared" si="8"/>
        <v>0</v>
      </c>
      <c r="U154" s="225">
        <f t="shared" si="9"/>
        <v>0</v>
      </c>
      <c r="V154" s="225">
        <f t="shared" si="10"/>
        <v>0</v>
      </c>
      <c r="W154" s="231">
        <f t="shared" si="11"/>
        <v>0</v>
      </c>
      <c r="X154" s="231"/>
    </row>
    <row r="155" spans="1:24" hidden="1" x14ac:dyDescent="0.25">
      <c r="A155" s="153" t="s">
        <v>238</v>
      </c>
      <c r="B155" s="106" t="s">
        <v>301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7"/>
        <v>0</v>
      </c>
      <c r="T155" s="231">
        <f t="shared" si="8"/>
        <v>0</v>
      </c>
      <c r="U155" s="225">
        <f t="shared" si="9"/>
        <v>0</v>
      </c>
      <c r="V155" s="225">
        <f t="shared" si="10"/>
        <v>0</v>
      </c>
      <c r="W155" s="231">
        <f t="shared" si="11"/>
        <v>0</v>
      </c>
      <c r="X155" s="231"/>
    </row>
    <row r="156" spans="1:24" hidden="1" x14ac:dyDescent="0.25">
      <c r="A156" s="153" t="s">
        <v>239</v>
      </c>
      <c r="B156" s="106" t="s">
        <v>302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7"/>
        <v>0</v>
      </c>
      <c r="T156" s="231">
        <f t="shared" si="8"/>
        <v>0</v>
      </c>
      <c r="U156" s="225">
        <f t="shared" si="9"/>
        <v>0</v>
      </c>
      <c r="V156" s="225">
        <f t="shared" si="10"/>
        <v>0</v>
      </c>
      <c r="W156" s="231">
        <f t="shared" si="11"/>
        <v>0</v>
      </c>
      <c r="X156" s="231"/>
    </row>
    <row r="157" spans="1:24" hidden="1" x14ac:dyDescent="0.25">
      <c r="A157" s="220" t="s">
        <v>103</v>
      </c>
      <c r="B157" s="221" t="s">
        <v>296</v>
      </c>
      <c r="C157" s="213"/>
      <c r="D157" s="214"/>
      <c r="E157" s="215"/>
      <c r="F157" s="208">
        <f>SUM(F158:F162)</f>
        <v>0</v>
      </c>
      <c r="G157" s="315">
        <f>SUM(G158:G162)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39">
        <f t="shared" si="7"/>
        <v>0</v>
      </c>
      <c r="T157" s="240">
        <f t="shared" si="8"/>
        <v>0</v>
      </c>
      <c r="U157" s="239">
        <f t="shared" si="9"/>
        <v>0</v>
      </c>
      <c r="V157" s="239">
        <f t="shared" si="10"/>
        <v>0</v>
      </c>
      <c r="W157" s="240">
        <f t="shared" si="11"/>
        <v>0</v>
      </c>
      <c r="X157" s="240"/>
    </row>
    <row r="158" spans="1:24" hidden="1" x14ac:dyDescent="0.25">
      <c r="A158" s="148" t="s">
        <v>240</v>
      </c>
      <c r="B158" s="106" t="s">
        <v>297</v>
      </c>
      <c r="C158" s="28"/>
      <c r="D158" s="29"/>
      <c r="E158" s="30"/>
      <c r="F158" s="48">
        <f>D158*E158</f>
        <v>0</v>
      </c>
      <c r="G158" s="295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7"/>
        <v>0</v>
      </c>
      <c r="T158" s="231">
        <f t="shared" si="8"/>
        <v>0</v>
      </c>
      <c r="U158" s="225">
        <f t="shared" si="9"/>
        <v>0</v>
      </c>
      <c r="V158" s="225">
        <f t="shared" si="10"/>
        <v>0</v>
      </c>
      <c r="W158" s="231">
        <f t="shared" si="11"/>
        <v>0</v>
      </c>
      <c r="X158" s="231"/>
    </row>
    <row r="159" spans="1:24" hidden="1" x14ac:dyDescent="0.25">
      <c r="A159" s="148" t="s">
        <v>241</v>
      </c>
      <c r="B159" s="106" t="s">
        <v>303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7"/>
        <v>0</v>
      </c>
      <c r="T159" s="231">
        <f t="shared" si="8"/>
        <v>0</v>
      </c>
      <c r="U159" s="225">
        <f t="shared" si="9"/>
        <v>0</v>
      </c>
      <c r="V159" s="225">
        <f t="shared" si="10"/>
        <v>0</v>
      </c>
      <c r="W159" s="231">
        <f t="shared" si="11"/>
        <v>0</v>
      </c>
      <c r="X159" s="231"/>
    </row>
    <row r="160" spans="1:24" hidden="1" x14ac:dyDescent="0.25">
      <c r="A160" s="148" t="s">
        <v>242</v>
      </c>
      <c r="B160" s="106" t="s">
        <v>304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7"/>
        <v>0</v>
      </c>
      <c r="T160" s="231">
        <f t="shared" si="8"/>
        <v>0</v>
      </c>
      <c r="U160" s="225">
        <f t="shared" si="9"/>
        <v>0</v>
      </c>
      <c r="V160" s="225">
        <f t="shared" si="10"/>
        <v>0</v>
      </c>
      <c r="W160" s="231">
        <f t="shared" si="11"/>
        <v>0</v>
      </c>
      <c r="X160" s="231"/>
    </row>
    <row r="161" spans="1:24" hidden="1" x14ac:dyDescent="0.25">
      <c r="A161" s="148" t="s">
        <v>243</v>
      </c>
      <c r="B161" s="106" t="s">
        <v>305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7"/>
        <v>0</v>
      </c>
      <c r="T161" s="231">
        <f t="shared" si="8"/>
        <v>0</v>
      </c>
      <c r="U161" s="225">
        <f t="shared" si="9"/>
        <v>0</v>
      </c>
      <c r="V161" s="225">
        <f t="shared" si="10"/>
        <v>0</v>
      </c>
      <c r="W161" s="231">
        <f t="shared" si="11"/>
        <v>0</v>
      </c>
      <c r="X161" s="231"/>
    </row>
    <row r="162" spans="1:24" hidden="1" x14ac:dyDescent="0.25">
      <c r="A162" s="148" t="s">
        <v>244</v>
      </c>
      <c r="B162" s="106" t="s">
        <v>306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7"/>
        <v>0</v>
      </c>
      <c r="T162" s="231">
        <f t="shared" si="8"/>
        <v>0</v>
      </c>
      <c r="U162" s="225">
        <f t="shared" si="9"/>
        <v>0</v>
      </c>
      <c r="V162" s="225">
        <f t="shared" si="10"/>
        <v>0</v>
      </c>
      <c r="W162" s="231">
        <f t="shared" si="11"/>
        <v>0</v>
      </c>
      <c r="X162" s="231"/>
    </row>
    <row r="163" spans="1:24" x14ac:dyDescent="0.25">
      <c r="B163" s="149"/>
      <c r="C163" s="31"/>
      <c r="D163" s="32"/>
      <c r="E163" s="33"/>
      <c r="F163" s="48"/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57"/>
      <c r="S163" s="225"/>
      <c r="T163" s="231"/>
      <c r="U163" s="225"/>
      <c r="V163" s="225"/>
      <c r="W163" s="231"/>
      <c r="X163" s="231"/>
    </row>
    <row r="164" spans="1:24" ht="13.8" thickBot="1" x14ac:dyDescent="0.3">
      <c r="A164" s="99"/>
      <c r="B164" s="146" t="s">
        <v>124</v>
      </c>
      <c r="C164" s="118"/>
      <c r="D164" s="122"/>
      <c r="E164" s="123"/>
      <c r="F164" s="50">
        <f>SUM(F103+F109+F115+F121+F127+F133+F139+F145+F151+F157)</f>
        <v>700000000</v>
      </c>
      <c r="G164" s="50">
        <f>SUM(G103+G109+G115+G121+G127+G133+G139+G145+G151+G157)</f>
        <v>466666.6666666668</v>
      </c>
      <c r="H164" s="244"/>
      <c r="I164" s="244"/>
      <c r="J164" s="244"/>
      <c r="K164" s="244"/>
      <c r="L164" s="244"/>
      <c r="M164" s="244"/>
      <c r="N164" s="244"/>
      <c r="O164" s="244"/>
      <c r="P164" s="244"/>
      <c r="Q164" s="253"/>
      <c r="R164" s="263"/>
      <c r="S164" s="237">
        <f t="shared" si="7"/>
        <v>-700000000</v>
      </c>
      <c r="T164" s="238">
        <f t="shared" si="8"/>
        <v>-1</v>
      </c>
      <c r="U164" s="237">
        <f t="shared" si="9"/>
        <v>0</v>
      </c>
      <c r="V164" s="237">
        <f t="shared" si="10"/>
        <v>-466666.6666666668</v>
      </c>
      <c r="W164" s="238">
        <f t="shared" si="11"/>
        <v>-1</v>
      </c>
      <c r="X164" s="238"/>
    </row>
    <row r="165" spans="1:24" ht="13.8" thickTop="1" x14ac:dyDescent="0.25">
      <c r="C165" s="80"/>
      <c r="D165" s="71"/>
      <c r="E165" s="72"/>
      <c r="G165" s="48"/>
      <c r="H165" s="245"/>
      <c r="I165" s="245"/>
      <c r="J165" s="245"/>
      <c r="K165" s="245"/>
      <c r="L165" s="245"/>
      <c r="M165" s="245"/>
      <c r="N165" s="245"/>
      <c r="O165" s="245"/>
      <c r="P165" s="245"/>
      <c r="Q165" s="254"/>
      <c r="R165" s="261"/>
      <c r="S165" s="225"/>
      <c r="T165" s="231"/>
      <c r="U165" s="225"/>
      <c r="V165" s="225"/>
      <c r="W165" s="231"/>
      <c r="X165" s="231"/>
    </row>
    <row r="166" spans="1:24" x14ac:dyDescent="0.25">
      <c r="A166" s="125">
        <v>3</v>
      </c>
      <c r="B166" s="126" t="s">
        <v>127</v>
      </c>
      <c r="C166" s="130"/>
      <c r="D166" s="129"/>
      <c r="E166" s="131"/>
      <c r="F166" s="131"/>
      <c r="G166" s="147"/>
      <c r="H166" s="241"/>
      <c r="I166" s="241"/>
      <c r="J166" s="241"/>
      <c r="K166" s="241"/>
      <c r="L166" s="241"/>
      <c r="M166" s="241"/>
      <c r="N166" s="241"/>
      <c r="O166" s="241"/>
      <c r="P166" s="241"/>
      <c r="Q166" s="252"/>
      <c r="R166" s="260"/>
      <c r="S166" s="230"/>
      <c r="T166" s="232"/>
      <c r="U166" s="230"/>
      <c r="V166" s="230"/>
      <c r="W166" s="232"/>
      <c r="X166" s="232"/>
    </row>
    <row r="167" spans="1:24" hidden="1" x14ac:dyDescent="0.25">
      <c r="A167" s="157" t="s">
        <v>132</v>
      </c>
      <c r="B167" s="140" t="s">
        <v>110</v>
      </c>
      <c r="C167" s="21"/>
      <c r="D167" s="25"/>
      <c r="E167" s="18"/>
      <c r="F167" s="3">
        <f>D167*E167</f>
        <v>0</v>
      </c>
      <c r="G167" s="51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7"/>
        <v>0</v>
      </c>
      <c r="T167" s="231">
        <f t="shared" si="8"/>
        <v>0</v>
      </c>
      <c r="U167" s="225">
        <f t="shared" si="9"/>
        <v>0</v>
      </c>
      <c r="V167" s="225">
        <f t="shared" si="10"/>
        <v>0</v>
      </c>
      <c r="W167" s="231">
        <f t="shared" si="11"/>
        <v>0</v>
      </c>
      <c r="X167" s="231"/>
    </row>
    <row r="168" spans="1:24" hidden="1" x14ac:dyDescent="0.25">
      <c r="A168" s="157" t="s">
        <v>133</v>
      </c>
      <c r="B168" s="140" t="s">
        <v>48</v>
      </c>
      <c r="C168" s="21"/>
      <c r="D168" s="25"/>
      <c r="E168" s="18"/>
      <c r="F168" s="3">
        <f t="shared" ref="F168:F174" si="12">D168*E168</f>
        <v>0</v>
      </c>
      <c r="G168" s="51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7"/>
        <v>0</v>
      </c>
      <c r="T168" s="231">
        <f t="shared" si="8"/>
        <v>0</v>
      </c>
      <c r="U168" s="225">
        <f t="shared" si="9"/>
        <v>0</v>
      </c>
      <c r="V168" s="225">
        <f t="shared" si="10"/>
        <v>0</v>
      </c>
      <c r="W168" s="231">
        <f t="shared" si="11"/>
        <v>0</v>
      </c>
      <c r="X168" s="231"/>
    </row>
    <row r="169" spans="1:24" hidden="1" x14ac:dyDescent="0.25">
      <c r="A169" s="157" t="s">
        <v>134</v>
      </c>
      <c r="B169" s="140" t="s">
        <v>106</v>
      </c>
      <c r="C169" s="34"/>
      <c r="D169" s="35"/>
      <c r="E169" s="36"/>
      <c r="F169" s="3">
        <f t="shared" si="12"/>
        <v>0</v>
      </c>
      <c r="G169" s="51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7"/>
        <v>0</v>
      </c>
      <c r="T169" s="231">
        <f t="shared" si="8"/>
        <v>0</v>
      </c>
      <c r="U169" s="225">
        <f t="shared" si="9"/>
        <v>0</v>
      </c>
      <c r="V169" s="225">
        <f t="shared" si="10"/>
        <v>0</v>
      </c>
      <c r="W169" s="231">
        <f t="shared" si="11"/>
        <v>0</v>
      </c>
      <c r="X169" s="231"/>
    </row>
    <row r="170" spans="1:24" hidden="1" x14ac:dyDescent="0.25">
      <c r="A170" s="157" t="s">
        <v>135</v>
      </c>
      <c r="B170" s="140" t="s">
        <v>140</v>
      </c>
      <c r="C170" s="34"/>
      <c r="D170" s="35"/>
      <c r="E170" s="36"/>
      <c r="F170" s="3">
        <f t="shared" si="12"/>
        <v>0</v>
      </c>
      <c r="G170" s="51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7"/>
        <v>0</v>
      </c>
      <c r="T170" s="231">
        <f t="shared" si="8"/>
        <v>0</v>
      </c>
      <c r="U170" s="225">
        <f t="shared" si="9"/>
        <v>0</v>
      </c>
      <c r="V170" s="225">
        <f t="shared" si="10"/>
        <v>0</v>
      </c>
      <c r="W170" s="231">
        <f t="shared" si="11"/>
        <v>0</v>
      </c>
      <c r="X170" s="231"/>
    </row>
    <row r="171" spans="1:24" ht="15" hidden="1" customHeight="1" x14ac:dyDescent="0.25">
      <c r="A171" s="157" t="s">
        <v>136</v>
      </c>
      <c r="B171" s="140" t="s">
        <v>141</v>
      </c>
      <c r="C171" s="34"/>
      <c r="D171" s="35"/>
      <c r="E171" s="36"/>
      <c r="F171" s="3">
        <f t="shared" si="12"/>
        <v>0</v>
      </c>
      <c r="G171" s="51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7"/>
        <v>0</v>
      </c>
      <c r="T171" s="231">
        <f t="shared" si="8"/>
        <v>0</v>
      </c>
      <c r="U171" s="225">
        <f t="shared" si="9"/>
        <v>0</v>
      </c>
      <c r="V171" s="225">
        <f t="shared" si="10"/>
        <v>0</v>
      </c>
      <c r="W171" s="231">
        <f t="shared" si="11"/>
        <v>0</v>
      </c>
      <c r="X171" s="231"/>
    </row>
    <row r="172" spans="1:24" ht="15" hidden="1" customHeight="1" x14ac:dyDescent="0.25">
      <c r="A172" s="157" t="s">
        <v>248</v>
      </c>
      <c r="B172" s="140" t="s">
        <v>246</v>
      </c>
      <c r="C172" s="34"/>
      <c r="D172" s="35"/>
      <c r="E172" s="36"/>
      <c r="F172" s="3">
        <f>D172*E172</f>
        <v>0</v>
      </c>
      <c r="G172" s="51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7"/>
        <v>0</v>
      </c>
      <c r="T172" s="231">
        <f t="shared" si="8"/>
        <v>0</v>
      </c>
      <c r="U172" s="225">
        <f t="shared" si="9"/>
        <v>0</v>
      </c>
      <c r="V172" s="225">
        <f t="shared" si="10"/>
        <v>0</v>
      </c>
      <c r="W172" s="231">
        <f t="shared" si="11"/>
        <v>0</v>
      </c>
      <c r="X172" s="231"/>
    </row>
    <row r="173" spans="1:24" x14ac:dyDescent="0.25">
      <c r="A173" s="157" t="s">
        <v>138</v>
      </c>
      <c r="B173" s="140" t="s">
        <v>139</v>
      </c>
      <c r="C173" s="280" t="s">
        <v>364</v>
      </c>
      <c r="D173" s="35">
        <v>1</v>
      </c>
      <c r="E173" s="36">
        <v>4500000</v>
      </c>
      <c r="F173" s="3">
        <f t="shared" si="12"/>
        <v>4500000</v>
      </c>
      <c r="G173" s="51">
        <f>F173*C4</f>
        <v>3000.0000000000014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7"/>
        <v>-4500000</v>
      </c>
      <c r="T173" s="231">
        <f t="shared" si="8"/>
        <v>-1</v>
      </c>
      <c r="U173" s="225">
        <f t="shared" si="9"/>
        <v>0</v>
      </c>
      <c r="V173" s="225">
        <f t="shared" si="10"/>
        <v>-3000.0000000000014</v>
      </c>
      <c r="W173" s="231">
        <f t="shared" si="11"/>
        <v>-1</v>
      </c>
      <c r="X173" s="231"/>
    </row>
    <row r="174" spans="1:24" x14ac:dyDescent="0.25">
      <c r="A174" s="157" t="s">
        <v>247</v>
      </c>
      <c r="B174" s="140" t="s">
        <v>165</v>
      </c>
      <c r="C174" s="280" t="s">
        <v>364</v>
      </c>
      <c r="D174" s="35">
        <v>1</v>
      </c>
      <c r="E174" s="36">
        <v>7500000</v>
      </c>
      <c r="F174" s="3">
        <f t="shared" si="12"/>
        <v>7500000</v>
      </c>
      <c r="G174" s="51">
        <f>F174*C4</f>
        <v>5000.0000000000018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7"/>
        <v>-7500000</v>
      </c>
      <c r="T174" s="231">
        <f t="shared" si="8"/>
        <v>-1</v>
      </c>
      <c r="U174" s="225">
        <f t="shared" si="9"/>
        <v>0</v>
      </c>
      <c r="V174" s="225">
        <f t="shared" si="10"/>
        <v>-5000.0000000000018</v>
      </c>
      <c r="W174" s="231">
        <f t="shared" si="11"/>
        <v>-1</v>
      </c>
      <c r="X174" s="231"/>
    </row>
    <row r="175" spans="1:24" x14ac:dyDescent="0.25">
      <c r="B175" s="109"/>
      <c r="C175" s="9"/>
      <c r="D175" s="6"/>
      <c r="E175" s="7"/>
      <c r="G175" s="48"/>
      <c r="H175" s="245"/>
      <c r="I175" s="245"/>
      <c r="J175" s="245"/>
      <c r="K175" s="245"/>
      <c r="L175" s="245"/>
      <c r="M175" s="245"/>
      <c r="N175" s="245"/>
      <c r="O175" s="245"/>
      <c r="P175" s="245"/>
      <c r="Q175" s="254"/>
      <c r="R175" s="261"/>
      <c r="S175" s="225"/>
      <c r="T175" s="231"/>
      <c r="U175" s="225"/>
      <c r="V175" s="225"/>
      <c r="W175" s="231"/>
      <c r="X175" s="231"/>
    </row>
    <row r="176" spans="1:24" ht="13.8" thickBot="1" x14ac:dyDescent="0.3">
      <c r="A176" s="99"/>
      <c r="B176" s="146" t="s">
        <v>108</v>
      </c>
      <c r="C176" s="118"/>
      <c r="D176" s="122"/>
      <c r="E176" s="123"/>
      <c r="F176" s="50">
        <f>SUM(F167:F174)</f>
        <v>12000000</v>
      </c>
      <c r="G176" s="50">
        <f>SUM(G167:G174)</f>
        <v>8000.0000000000036</v>
      </c>
      <c r="H176" s="244"/>
      <c r="I176" s="244"/>
      <c r="J176" s="244"/>
      <c r="K176" s="244"/>
      <c r="L176" s="244"/>
      <c r="M176" s="244"/>
      <c r="N176" s="244"/>
      <c r="O176" s="244"/>
      <c r="P176" s="244"/>
      <c r="Q176" s="253"/>
      <c r="R176" s="263"/>
      <c r="S176" s="237">
        <f t="shared" si="7"/>
        <v>-12000000</v>
      </c>
      <c r="T176" s="238">
        <f t="shared" si="8"/>
        <v>-1</v>
      </c>
      <c r="U176" s="237">
        <f t="shared" si="9"/>
        <v>0</v>
      </c>
      <c r="V176" s="237">
        <f t="shared" si="10"/>
        <v>-8000.0000000000036</v>
      </c>
      <c r="W176" s="238">
        <f t="shared" si="11"/>
        <v>-1</v>
      </c>
      <c r="X176" s="238"/>
    </row>
    <row r="177" spans="1:24" ht="13.8" thickTop="1" x14ac:dyDescent="0.25">
      <c r="B177" s="77"/>
      <c r="C177" s="162"/>
      <c r="D177" s="161"/>
      <c r="E177" s="74"/>
      <c r="F177" s="48"/>
      <c r="G177" s="1"/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57"/>
      <c r="S177" s="225"/>
      <c r="T177" s="231"/>
      <c r="U177" s="225"/>
      <c r="V177" s="225"/>
      <c r="W177" s="231"/>
      <c r="X177" s="231"/>
    </row>
    <row r="178" spans="1:24" x14ac:dyDescent="0.25">
      <c r="A178" s="125">
        <v>4</v>
      </c>
      <c r="B178" s="126" t="s">
        <v>107</v>
      </c>
      <c r="C178" s="130"/>
      <c r="D178" s="129"/>
      <c r="E178" s="131"/>
      <c r="F178" s="131"/>
      <c r="G178" s="147"/>
      <c r="H178" s="241"/>
      <c r="I178" s="241"/>
      <c r="J178" s="241"/>
      <c r="K178" s="241"/>
      <c r="L178" s="241"/>
      <c r="M178" s="241"/>
      <c r="N178" s="241"/>
      <c r="O178" s="241"/>
      <c r="P178" s="241"/>
      <c r="Q178" s="252"/>
      <c r="R178" s="260"/>
      <c r="S178" s="230"/>
      <c r="T178" s="232"/>
      <c r="U178" s="230"/>
      <c r="V178" s="230"/>
      <c r="W178" s="232"/>
      <c r="X178" s="232"/>
    </row>
    <row r="179" spans="1:24" x14ac:dyDescent="0.25">
      <c r="A179" s="70" t="s">
        <v>19</v>
      </c>
      <c r="B179" s="77"/>
      <c r="C179" s="162"/>
      <c r="D179" s="161"/>
      <c r="E179" s="74"/>
      <c r="F179" s="48"/>
      <c r="G179" s="1"/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57"/>
      <c r="S179" s="225"/>
      <c r="T179" s="231"/>
      <c r="U179" s="225"/>
      <c r="V179" s="225"/>
      <c r="W179" s="231"/>
      <c r="X179" s="231"/>
    </row>
    <row r="180" spans="1:24" hidden="1" x14ac:dyDescent="0.25">
      <c r="A180" s="77" t="s">
        <v>142</v>
      </c>
      <c r="B180" s="163" t="s">
        <v>44</v>
      </c>
      <c r="C180" s="21"/>
      <c r="D180" s="25"/>
      <c r="E180" s="18"/>
      <c r="F180" s="48">
        <f>D180*E180</f>
        <v>0</v>
      </c>
      <c r="G180" s="1">
        <f>F180*C4</f>
        <v>0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7"/>
        <v>0</v>
      </c>
      <c r="T180" s="231">
        <f t="shared" si="8"/>
        <v>0</v>
      </c>
      <c r="U180" s="225">
        <f t="shared" si="9"/>
        <v>0</v>
      </c>
      <c r="V180" s="225">
        <f t="shared" si="10"/>
        <v>0</v>
      </c>
      <c r="W180" s="231">
        <f t="shared" si="11"/>
        <v>0</v>
      </c>
      <c r="X180" s="231"/>
    </row>
    <row r="181" spans="1:24" hidden="1" x14ac:dyDescent="0.25">
      <c r="A181" s="77" t="s">
        <v>143</v>
      </c>
      <c r="B181" s="163" t="s">
        <v>45</v>
      </c>
      <c r="C181" s="21"/>
      <c r="D181" s="25"/>
      <c r="E181" s="18"/>
      <c r="F181" s="48">
        <f>D181*E181</f>
        <v>0</v>
      </c>
      <c r="G181" s="1">
        <f>F181*C4</f>
        <v>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7"/>
        <v>0</v>
      </c>
      <c r="T181" s="231">
        <f t="shared" si="8"/>
        <v>0</v>
      </c>
      <c r="U181" s="225">
        <f t="shared" si="9"/>
        <v>0</v>
      </c>
      <c r="V181" s="225">
        <f t="shared" si="10"/>
        <v>0</v>
      </c>
      <c r="W181" s="231">
        <f t="shared" si="11"/>
        <v>0</v>
      </c>
      <c r="X181" s="231"/>
    </row>
    <row r="182" spans="1:24" hidden="1" x14ac:dyDescent="0.25">
      <c r="A182" s="70" t="s">
        <v>7</v>
      </c>
      <c r="B182" s="137"/>
      <c r="C182" s="22"/>
      <c r="D182" s="44"/>
      <c r="E182" s="14"/>
      <c r="F182" s="48"/>
      <c r="G182" s="1"/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57"/>
      <c r="S182" s="225"/>
      <c r="T182" s="231"/>
      <c r="U182" s="225"/>
      <c r="V182" s="225"/>
      <c r="W182" s="231"/>
      <c r="X182" s="231"/>
    </row>
    <row r="183" spans="1:24" hidden="1" x14ac:dyDescent="0.25">
      <c r="A183" s="77" t="s">
        <v>144</v>
      </c>
      <c r="B183" s="163" t="s">
        <v>46</v>
      </c>
      <c r="C183" s="35"/>
      <c r="D183" s="36"/>
      <c r="E183" s="39"/>
      <c r="F183" s="48">
        <f>D183*E183</f>
        <v>0</v>
      </c>
      <c r="G183" s="49">
        <f>F183*C4</f>
        <v>0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7"/>
        <v>0</v>
      </c>
      <c r="T183" s="231">
        <f t="shared" si="8"/>
        <v>0</v>
      </c>
      <c r="U183" s="225">
        <f t="shared" si="9"/>
        <v>0</v>
      </c>
      <c r="V183" s="225">
        <f t="shared" si="10"/>
        <v>0</v>
      </c>
      <c r="W183" s="231">
        <f t="shared" si="11"/>
        <v>0</v>
      </c>
      <c r="X183" s="231"/>
    </row>
    <row r="184" spans="1:24" hidden="1" x14ac:dyDescent="0.25">
      <c r="A184" s="77" t="s">
        <v>145</v>
      </c>
      <c r="B184" s="137" t="s">
        <v>47</v>
      </c>
      <c r="C184" s="35"/>
      <c r="D184" s="36"/>
      <c r="E184" s="39"/>
      <c r="F184" s="48">
        <f>D184*E184</f>
        <v>0</v>
      </c>
      <c r="G184" s="49">
        <f>F184*C4</f>
        <v>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7"/>
        <v>0</v>
      </c>
      <c r="T184" s="231">
        <f t="shared" si="8"/>
        <v>0</v>
      </c>
      <c r="U184" s="225">
        <f t="shared" si="9"/>
        <v>0</v>
      </c>
      <c r="V184" s="225">
        <f t="shared" si="10"/>
        <v>0</v>
      </c>
      <c r="W184" s="231">
        <f t="shared" si="11"/>
        <v>0</v>
      </c>
      <c r="X184" s="231"/>
    </row>
    <row r="185" spans="1:24" hidden="1" x14ac:dyDescent="0.25">
      <c r="A185" s="70" t="s">
        <v>8</v>
      </c>
      <c r="B185" s="137"/>
      <c r="C185" s="52"/>
      <c r="D185" s="23"/>
      <c r="E185" s="2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hidden="1" x14ac:dyDescent="0.25">
      <c r="A186" s="77" t="s">
        <v>150</v>
      </c>
      <c r="B186" s="140" t="s">
        <v>181</v>
      </c>
      <c r="C186" s="35"/>
      <c r="D186" s="36"/>
      <c r="E186" s="39"/>
      <c r="F186" s="48">
        <f>D186*E186</f>
        <v>0</v>
      </c>
      <c r="G186" s="1">
        <f>F186*C4</f>
        <v>0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7"/>
        <v>0</v>
      </c>
      <c r="T186" s="231">
        <f t="shared" si="8"/>
        <v>0</v>
      </c>
      <c r="U186" s="225">
        <f t="shared" si="9"/>
        <v>0</v>
      </c>
      <c r="V186" s="225">
        <f t="shared" si="10"/>
        <v>0</v>
      </c>
      <c r="W186" s="231">
        <f t="shared" si="11"/>
        <v>0</v>
      </c>
      <c r="X186" s="231"/>
    </row>
    <row r="187" spans="1:24" hidden="1" x14ac:dyDescent="0.25">
      <c r="A187" s="77" t="s">
        <v>146</v>
      </c>
      <c r="B187" s="149" t="s">
        <v>50</v>
      </c>
      <c r="C187" s="35"/>
      <c r="D187" s="36"/>
      <c r="E187" s="39"/>
      <c r="F187" s="48">
        <f>D187*E187</f>
        <v>0</v>
      </c>
      <c r="G187" s="1">
        <f>F187*C4</f>
        <v>0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7"/>
        <v>0</v>
      </c>
      <c r="T187" s="231">
        <f t="shared" si="8"/>
        <v>0</v>
      </c>
      <c r="U187" s="225">
        <f t="shared" si="9"/>
        <v>0</v>
      </c>
      <c r="V187" s="225">
        <f t="shared" si="10"/>
        <v>0</v>
      </c>
      <c r="W187" s="231">
        <f t="shared" si="11"/>
        <v>0</v>
      </c>
      <c r="X187" s="231"/>
    </row>
    <row r="188" spans="1:24" hidden="1" x14ac:dyDescent="0.25">
      <c r="A188" s="77" t="s">
        <v>147</v>
      </c>
      <c r="B188" s="149" t="s">
        <v>51</v>
      </c>
      <c r="C188" s="35"/>
      <c r="D188" s="36"/>
      <c r="E188" s="37"/>
      <c r="F188" s="48">
        <f>D188*E188</f>
        <v>0</v>
      </c>
      <c r="G188" s="1">
        <f>F188*C4</f>
        <v>0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7"/>
        <v>0</v>
      </c>
      <c r="T188" s="231">
        <f t="shared" si="8"/>
        <v>0</v>
      </c>
      <c r="U188" s="225">
        <f t="shared" si="9"/>
        <v>0</v>
      </c>
      <c r="V188" s="225">
        <f t="shared" si="10"/>
        <v>0</v>
      </c>
      <c r="W188" s="231">
        <f t="shared" si="11"/>
        <v>0</v>
      </c>
      <c r="X188" s="231"/>
    </row>
    <row r="189" spans="1:24" x14ac:dyDescent="0.25">
      <c r="A189" s="77" t="s">
        <v>148</v>
      </c>
      <c r="B189" s="149" t="s">
        <v>695</v>
      </c>
      <c r="C189" s="314" t="s">
        <v>694</v>
      </c>
      <c r="D189" s="36">
        <v>2</v>
      </c>
      <c r="E189" s="36">
        <v>1875000</v>
      </c>
      <c r="F189" s="48">
        <f>D189*E189</f>
        <v>3750000</v>
      </c>
      <c r="G189" s="1">
        <f>F189*C4</f>
        <v>2500.0000000000009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7"/>
        <v>-3750000</v>
      </c>
      <c r="T189" s="231">
        <f t="shared" si="8"/>
        <v>-1</v>
      </c>
      <c r="U189" s="225">
        <f t="shared" si="9"/>
        <v>0</v>
      </c>
      <c r="V189" s="225">
        <f t="shared" si="10"/>
        <v>-2500.0000000000009</v>
      </c>
      <c r="W189" s="231">
        <f t="shared" si="11"/>
        <v>-1</v>
      </c>
      <c r="X189" s="231"/>
    </row>
    <row r="190" spans="1:24" hidden="1" x14ac:dyDescent="0.25">
      <c r="A190" s="77" t="s">
        <v>149</v>
      </c>
      <c r="B190" s="149" t="s">
        <v>126</v>
      </c>
      <c r="C190" s="35"/>
      <c r="D190" s="36"/>
      <c r="E190" s="38"/>
      <c r="F190" s="48">
        <f>D190*E190</f>
        <v>0</v>
      </c>
      <c r="G190" s="1">
        <f>F190*C4</f>
        <v>0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7"/>
        <v>0</v>
      </c>
      <c r="T190" s="231">
        <f t="shared" si="8"/>
        <v>0</v>
      </c>
      <c r="U190" s="225">
        <f t="shared" si="9"/>
        <v>0</v>
      </c>
      <c r="V190" s="225">
        <f t="shared" si="10"/>
        <v>0</v>
      </c>
      <c r="W190" s="231">
        <f t="shared" si="11"/>
        <v>0</v>
      </c>
      <c r="X190" s="231"/>
    </row>
    <row r="191" spans="1:24" x14ac:dyDescent="0.25">
      <c r="C191" s="5"/>
      <c r="D191" s="5"/>
      <c r="E191" s="5"/>
      <c r="F191" s="168"/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57"/>
      <c r="S191" s="225"/>
      <c r="T191" s="231"/>
      <c r="U191" s="225"/>
      <c r="V191" s="225"/>
      <c r="W191" s="231"/>
      <c r="X191" s="231"/>
    </row>
    <row r="192" spans="1:24" hidden="1" x14ac:dyDescent="0.25">
      <c r="A192" s="200"/>
      <c r="B192" s="201" t="s">
        <v>189</v>
      </c>
      <c r="C192" s="201"/>
      <c r="D192" s="201"/>
      <c r="E192" s="201"/>
      <c r="F192" s="202">
        <f>SUM(F180:F182)</f>
        <v>0</v>
      </c>
      <c r="G192" s="201">
        <f>SUM(G180:G182)</f>
        <v>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>
        <f t="shared" si="7"/>
        <v>0</v>
      </c>
      <c r="T192" s="231">
        <f t="shared" si="8"/>
        <v>0</v>
      </c>
      <c r="U192" s="225">
        <f t="shared" si="9"/>
        <v>0</v>
      </c>
      <c r="V192" s="225">
        <f t="shared" si="10"/>
        <v>0</v>
      </c>
      <c r="W192" s="231">
        <f t="shared" si="11"/>
        <v>0</v>
      </c>
      <c r="X192" s="231"/>
    </row>
    <row r="193" spans="1:24" hidden="1" x14ac:dyDescent="0.25">
      <c r="A193" s="200"/>
      <c r="B193" s="201" t="s">
        <v>7</v>
      </c>
      <c r="C193" s="201"/>
      <c r="D193" s="201"/>
      <c r="E193" s="201"/>
      <c r="F193" s="202">
        <f>SUM(F183:F185)</f>
        <v>0</v>
      </c>
      <c r="G193" s="201">
        <f>SUM(G183:G185)</f>
        <v>0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57"/>
      <c r="S193" s="225">
        <f t="shared" si="7"/>
        <v>0</v>
      </c>
      <c r="T193" s="231">
        <f t="shared" si="8"/>
        <v>0</v>
      </c>
      <c r="U193" s="225">
        <f t="shared" si="9"/>
        <v>0</v>
      </c>
      <c r="V193" s="225">
        <f t="shared" si="10"/>
        <v>0</v>
      </c>
      <c r="W193" s="231">
        <f t="shared" si="11"/>
        <v>0</v>
      </c>
      <c r="X193" s="231"/>
    </row>
    <row r="194" spans="1:24" hidden="1" x14ac:dyDescent="0.25">
      <c r="A194" s="200"/>
      <c r="B194" s="201" t="s">
        <v>8</v>
      </c>
      <c r="C194" s="201"/>
      <c r="D194" s="201"/>
      <c r="E194" s="201"/>
      <c r="F194" s="202">
        <f>SUM(F186:F191)</f>
        <v>3750000</v>
      </c>
      <c r="G194" s="201">
        <f>SUM(G186:G191)</f>
        <v>2500.0000000000009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>
        <f t="shared" si="7"/>
        <v>-3750000</v>
      </c>
      <c r="T194" s="231">
        <f t="shared" si="8"/>
        <v>-1</v>
      </c>
      <c r="U194" s="225">
        <f t="shared" si="9"/>
        <v>0</v>
      </c>
      <c r="V194" s="225">
        <f t="shared" si="10"/>
        <v>-2500.0000000000009</v>
      </c>
      <c r="W194" s="231">
        <f t="shared" si="11"/>
        <v>-1</v>
      </c>
      <c r="X194" s="231"/>
    </row>
    <row r="195" spans="1:24" ht="13.8" thickBot="1" x14ac:dyDescent="0.3">
      <c r="A195" s="99"/>
      <c r="B195" s="146" t="s">
        <v>109</v>
      </c>
      <c r="C195" s="118"/>
      <c r="D195" s="122"/>
      <c r="E195" s="123"/>
      <c r="F195" s="50">
        <f>SUM(F180+F181+F183+F184+F186+F187+F188+F189+F190)</f>
        <v>3750000</v>
      </c>
      <c r="G195" s="50">
        <f>SUM(G180+G181+G183+G184+G186+G188+G187+G189+G190)</f>
        <v>2500.0000000000009</v>
      </c>
      <c r="H195" s="244"/>
      <c r="I195" s="244"/>
      <c r="J195" s="244"/>
      <c r="K195" s="244"/>
      <c r="L195" s="244"/>
      <c r="M195" s="244"/>
      <c r="N195" s="244"/>
      <c r="O195" s="244"/>
      <c r="P195" s="244"/>
      <c r="Q195" s="253"/>
      <c r="R195" s="263"/>
      <c r="S195" s="237">
        <f t="shared" si="7"/>
        <v>-3750000</v>
      </c>
      <c r="T195" s="238">
        <f t="shared" si="8"/>
        <v>-1</v>
      </c>
      <c r="U195" s="237">
        <f t="shared" si="9"/>
        <v>0</v>
      </c>
      <c r="V195" s="237">
        <f t="shared" si="10"/>
        <v>-2500.0000000000009</v>
      </c>
      <c r="W195" s="238">
        <f t="shared" si="11"/>
        <v>-1</v>
      </c>
      <c r="X195" s="238"/>
    </row>
    <row r="196" spans="1:24" ht="13.8" thickTop="1" x14ac:dyDescent="0.25">
      <c r="A196" s="99"/>
      <c r="B196" s="146"/>
      <c r="C196" s="118"/>
      <c r="D196" s="122"/>
      <c r="E196" s="123"/>
      <c r="F196" s="169"/>
      <c r="G196" s="169"/>
      <c r="H196" s="244"/>
      <c r="I196" s="244"/>
      <c r="J196" s="244"/>
      <c r="K196" s="244"/>
      <c r="L196" s="244"/>
      <c r="M196" s="244"/>
      <c r="N196" s="244"/>
      <c r="O196" s="244"/>
      <c r="P196" s="244"/>
      <c r="Q196" s="253"/>
      <c r="R196" s="259"/>
      <c r="S196" s="225"/>
      <c r="T196" s="231"/>
      <c r="U196" s="225"/>
      <c r="V196" s="225"/>
      <c r="W196" s="231"/>
      <c r="X196" s="231"/>
    </row>
    <row r="197" spans="1:24" x14ac:dyDescent="0.25">
      <c r="A197" s="125">
        <v>5</v>
      </c>
      <c r="B197" s="126" t="s">
        <v>111</v>
      </c>
      <c r="C197" s="130"/>
      <c r="D197" s="129"/>
      <c r="E197" s="131"/>
      <c r="F197" s="131"/>
      <c r="G197" s="147"/>
      <c r="H197" s="241"/>
      <c r="I197" s="241"/>
      <c r="J197" s="241"/>
      <c r="K197" s="241"/>
      <c r="L197" s="241"/>
      <c r="M197" s="241"/>
      <c r="N197" s="241"/>
      <c r="O197" s="241"/>
      <c r="P197" s="241"/>
      <c r="Q197" s="252"/>
      <c r="R197" s="260"/>
      <c r="S197" s="230"/>
      <c r="T197" s="232"/>
      <c r="U197" s="230"/>
      <c r="V197" s="230"/>
      <c r="W197" s="232"/>
      <c r="X197" s="232"/>
    </row>
    <row r="198" spans="1:24" x14ac:dyDescent="0.25">
      <c r="A198" s="77" t="s">
        <v>151</v>
      </c>
      <c r="B198" s="163" t="s">
        <v>11</v>
      </c>
      <c r="C198" s="35" t="s">
        <v>389</v>
      </c>
      <c r="D198" s="36">
        <v>4</v>
      </c>
      <c r="E198" s="39">
        <v>742000</v>
      </c>
      <c r="F198" s="48">
        <f>D198*E198</f>
        <v>2968000</v>
      </c>
      <c r="G198" s="49">
        <f>F198*C4</f>
        <v>1978.6666666666677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7"/>
        <v>-2968000</v>
      </c>
      <c r="T198" s="231">
        <f t="shared" si="8"/>
        <v>-1</v>
      </c>
      <c r="U198" s="225">
        <f t="shared" si="9"/>
        <v>0</v>
      </c>
      <c r="V198" s="225">
        <f t="shared" si="10"/>
        <v>-1978.6666666666677</v>
      </c>
      <c r="W198" s="231">
        <f t="shared" si="11"/>
        <v>-1</v>
      </c>
      <c r="X198" s="231"/>
    </row>
    <row r="199" spans="1:24" x14ac:dyDescent="0.25">
      <c r="A199" s="77" t="s">
        <v>152</v>
      </c>
      <c r="B199" s="163" t="s">
        <v>12</v>
      </c>
      <c r="C199" s="35" t="s">
        <v>390</v>
      </c>
      <c r="D199" s="36">
        <v>2</v>
      </c>
      <c r="E199" s="39">
        <v>225000</v>
      </c>
      <c r="F199" s="48">
        <f>D199*E199</f>
        <v>450000</v>
      </c>
      <c r="G199" s="49">
        <f>F199*C4</f>
        <v>300.00000000000011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7"/>
        <v>-450000</v>
      </c>
      <c r="T199" s="231">
        <f t="shared" si="8"/>
        <v>-1</v>
      </c>
      <c r="U199" s="225">
        <f t="shared" si="9"/>
        <v>0</v>
      </c>
      <c r="V199" s="225">
        <f t="shared" si="10"/>
        <v>-300.00000000000011</v>
      </c>
      <c r="W199" s="231">
        <f t="shared" si="11"/>
        <v>-1</v>
      </c>
      <c r="X199" s="231"/>
    </row>
    <row r="200" spans="1:24" hidden="1" x14ac:dyDescent="0.25">
      <c r="A200" s="77" t="s">
        <v>153</v>
      </c>
      <c r="B200" s="163" t="s">
        <v>13</v>
      </c>
      <c r="C200" s="35"/>
      <c r="D200" s="36"/>
      <c r="E200" s="39"/>
      <c r="F200" s="48">
        <f>D200*E200</f>
        <v>0</v>
      </c>
      <c r="G200" s="49">
        <f>F200*C4</f>
        <v>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62"/>
      <c r="S200" s="225">
        <f t="shared" si="7"/>
        <v>0</v>
      </c>
      <c r="T200" s="231">
        <f t="shared" si="8"/>
        <v>0</v>
      </c>
      <c r="U200" s="225">
        <f t="shared" si="9"/>
        <v>0</v>
      </c>
      <c r="V200" s="225">
        <f t="shared" si="10"/>
        <v>0</v>
      </c>
      <c r="W200" s="231">
        <f t="shared" si="11"/>
        <v>0</v>
      </c>
      <c r="X200" s="231"/>
    </row>
    <row r="201" spans="1:24" hidden="1" x14ac:dyDescent="0.25">
      <c r="A201" s="77" t="s">
        <v>154</v>
      </c>
      <c r="B201" s="163" t="s">
        <v>14</v>
      </c>
      <c r="C201" s="35"/>
      <c r="D201" s="36"/>
      <c r="E201" s="39"/>
      <c r="F201" s="48">
        <f>D201*E201</f>
        <v>0</v>
      </c>
      <c r="G201" s="49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7"/>
        <v>0</v>
      </c>
      <c r="T201" s="231">
        <f t="shared" si="8"/>
        <v>0</v>
      </c>
      <c r="U201" s="225">
        <f t="shared" si="9"/>
        <v>0</v>
      </c>
      <c r="V201" s="225">
        <f t="shared" si="10"/>
        <v>0</v>
      </c>
      <c r="W201" s="231">
        <f t="shared" si="11"/>
        <v>0</v>
      </c>
      <c r="X201" s="231"/>
    </row>
    <row r="202" spans="1:24" x14ac:dyDescent="0.25">
      <c r="A202" s="77" t="s">
        <v>155</v>
      </c>
      <c r="B202" s="163" t="s">
        <v>391</v>
      </c>
      <c r="C202" s="35" t="s">
        <v>391</v>
      </c>
      <c r="D202" s="36">
        <v>1</v>
      </c>
      <c r="E202" s="39">
        <v>400000</v>
      </c>
      <c r="F202" s="48">
        <f>D202*E202</f>
        <v>400000</v>
      </c>
      <c r="G202" s="49">
        <f>F202*C4</f>
        <v>266.6666666666668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7"/>
        <v>-400000</v>
      </c>
      <c r="T202" s="231">
        <f t="shared" si="8"/>
        <v>-1</v>
      </c>
      <c r="U202" s="225">
        <f t="shared" si="9"/>
        <v>0</v>
      </c>
      <c r="V202" s="225">
        <f t="shared" si="10"/>
        <v>-266.6666666666668</v>
      </c>
      <c r="W202" s="231">
        <f t="shared" si="11"/>
        <v>-1</v>
      </c>
      <c r="X202" s="231"/>
    </row>
    <row r="203" spans="1:24" x14ac:dyDescent="0.25">
      <c r="B203" s="163"/>
      <c r="C203" s="6"/>
      <c r="D203" s="7"/>
      <c r="E203" s="8"/>
      <c r="F203" s="48"/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57"/>
      <c r="S203" s="225"/>
      <c r="T203" s="231"/>
      <c r="U203" s="225"/>
      <c r="V203" s="225"/>
      <c r="W203" s="231"/>
      <c r="X203" s="231"/>
    </row>
    <row r="204" spans="1:24" ht="13.8" thickBot="1" x14ac:dyDescent="0.3">
      <c r="A204" s="99"/>
      <c r="B204" s="146" t="s">
        <v>112</v>
      </c>
      <c r="C204" s="118"/>
      <c r="D204" s="122"/>
      <c r="E204" s="123"/>
      <c r="F204" s="50">
        <f>SUM(F198:F202)</f>
        <v>3818000</v>
      </c>
      <c r="G204" s="50">
        <f>SUM(G198:G202)</f>
        <v>2545.3333333333348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53"/>
      <c r="R204" s="263"/>
      <c r="S204" s="237">
        <f t="shared" si="7"/>
        <v>-3818000</v>
      </c>
      <c r="T204" s="238">
        <f t="shared" si="8"/>
        <v>-1</v>
      </c>
      <c r="U204" s="237">
        <f t="shared" si="9"/>
        <v>0</v>
      </c>
      <c r="V204" s="237">
        <f t="shared" si="10"/>
        <v>-2545.3333333333348</v>
      </c>
      <c r="W204" s="238">
        <f t="shared" si="11"/>
        <v>-1</v>
      </c>
      <c r="X204" s="238"/>
    </row>
    <row r="205" spans="1:24" ht="13.8" thickTop="1" x14ac:dyDescent="0.25">
      <c r="B205" s="163"/>
      <c r="F205" s="48"/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57"/>
      <c r="S205" s="225"/>
      <c r="T205" s="231"/>
      <c r="U205" s="225"/>
      <c r="V205" s="225"/>
      <c r="W205" s="231"/>
      <c r="X205" s="231"/>
    </row>
    <row r="206" spans="1:24" x14ac:dyDescent="0.25">
      <c r="A206" s="125">
        <v>6</v>
      </c>
      <c r="B206" s="126" t="s">
        <v>113</v>
      </c>
      <c r="C206" s="130"/>
      <c r="D206" s="129"/>
      <c r="E206" s="131"/>
      <c r="F206" s="131"/>
      <c r="G206" s="147"/>
      <c r="H206" s="241"/>
      <c r="I206" s="241"/>
      <c r="J206" s="241"/>
      <c r="K206" s="241"/>
      <c r="L206" s="241"/>
      <c r="M206" s="241"/>
      <c r="N206" s="241"/>
      <c r="O206" s="241"/>
      <c r="P206" s="241"/>
      <c r="Q206" s="252"/>
      <c r="R206" s="260"/>
      <c r="S206" s="230"/>
      <c r="T206" s="232"/>
      <c r="U206" s="230"/>
      <c r="V206" s="230"/>
      <c r="W206" s="232"/>
      <c r="X206" s="232"/>
    </row>
    <row r="207" spans="1:24" hidden="1" x14ac:dyDescent="0.25">
      <c r="A207" s="99" t="s">
        <v>114</v>
      </c>
      <c r="B207" s="99" t="s">
        <v>71</v>
      </c>
      <c r="C207" s="2"/>
      <c r="D207" s="142"/>
      <c r="E207" s="143"/>
      <c r="F207" s="3"/>
      <c r="G207" s="53"/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56"/>
      <c r="S207" s="225"/>
      <c r="T207" s="231"/>
      <c r="U207" s="225"/>
      <c r="V207" s="225"/>
      <c r="W207" s="231"/>
      <c r="X207" s="231"/>
    </row>
    <row r="208" spans="1:24" hidden="1" x14ac:dyDescent="0.25">
      <c r="A208" s="109" t="s">
        <v>115</v>
      </c>
      <c r="B208" s="170" t="s">
        <v>72</v>
      </c>
      <c r="C208" s="35"/>
      <c r="D208" s="36"/>
      <c r="E208" s="39"/>
      <c r="F208" s="3">
        <f>D208*E208</f>
        <v>0</v>
      </c>
      <c r="G208" s="53">
        <f>F208*C4</f>
        <v>0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62"/>
      <c r="S208" s="225">
        <f t="shared" si="7"/>
        <v>0</v>
      </c>
      <c r="T208" s="231">
        <f t="shared" si="8"/>
        <v>0</v>
      </c>
      <c r="U208" s="225">
        <f t="shared" si="9"/>
        <v>0</v>
      </c>
      <c r="V208" s="225">
        <f t="shared" si="10"/>
        <v>0</v>
      </c>
      <c r="W208" s="231">
        <f t="shared" si="11"/>
        <v>0</v>
      </c>
      <c r="X208" s="231"/>
    </row>
    <row r="209" spans="1:24" hidden="1" x14ac:dyDescent="0.25">
      <c r="A209" s="109" t="s">
        <v>116</v>
      </c>
      <c r="B209" s="170" t="s">
        <v>73</v>
      </c>
      <c r="C209" s="35"/>
      <c r="D209" s="36"/>
      <c r="E209" s="39"/>
      <c r="F209" s="3">
        <f>D209*E209</f>
        <v>0</v>
      </c>
      <c r="G209" s="53">
        <f>F209*C4</f>
        <v>0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7"/>
        <v>0</v>
      </c>
      <c r="T209" s="231">
        <f t="shared" si="8"/>
        <v>0</v>
      </c>
      <c r="U209" s="225">
        <f t="shared" si="9"/>
        <v>0</v>
      </c>
      <c r="V209" s="225">
        <f t="shared" si="10"/>
        <v>0</v>
      </c>
      <c r="W209" s="231">
        <f t="shared" si="11"/>
        <v>0</v>
      </c>
      <c r="X209" s="231"/>
    </row>
    <row r="210" spans="1:24" hidden="1" x14ac:dyDescent="0.25">
      <c r="A210" s="109" t="s">
        <v>117</v>
      </c>
      <c r="B210" s="170" t="s">
        <v>74</v>
      </c>
      <c r="C210" s="35"/>
      <c r="D210" s="36"/>
      <c r="E210" s="39"/>
      <c r="F210" s="3">
        <f>D210*E210</f>
        <v>0</v>
      </c>
      <c r="G210" s="53">
        <f>F210*C4</f>
        <v>0</v>
      </c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62"/>
      <c r="S210" s="225">
        <f t="shared" si="7"/>
        <v>0</v>
      </c>
      <c r="T210" s="231">
        <f t="shared" si="8"/>
        <v>0</v>
      </c>
      <c r="U210" s="225">
        <f t="shared" si="9"/>
        <v>0</v>
      </c>
      <c r="V210" s="225">
        <f t="shared" si="10"/>
        <v>0</v>
      </c>
      <c r="W210" s="231">
        <f t="shared" si="11"/>
        <v>0</v>
      </c>
      <c r="X210" s="231"/>
    </row>
    <row r="211" spans="1:24" hidden="1" x14ac:dyDescent="0.25">
      <c r="A211" s="109" t="s">
        <v>118</v>
      </c>
      <c r="B211" s="170" t="s">
        <v>75</v>
      </c>
      <c r="C211" s="35"/>
      <c r="D211" s="36"/>
      <c r="E211" s="39"/>
      <c r="F211" s="3">
        <f>D211*E211</f>
        <v>0</v>
      </c>
      <c r="G211" s="53">
        <f>F211*C4</f>
        <v>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ref="S211:S252" si="13">R211-F211</f>
        <v>0</v>
      </c>
      <c r="T211" s="231">
        <f t="shared" ref="T211:T252" si="14">IF(F211=0,0,S211/F211)</f>
        <v>0</v>
      </c>
      <c r="U211" s="225">
        <f t="shared" ref="U211:U252" si="15">R211*$C$4</f>
        <v>0</v>
      </c>
      <c r="V211" s="225">
        <f t="shared" ref="V211:V252" si="16">U211-G211</f>
        <v>0</v>
      </c>
      <c r="W211" s="231">
        <f t="shared" ref="W211:W252" si="17">IF(G211=0,0,V211/G211)</f>
        <v>0</v>
      </c>
      <c r="X211" s="231"/>
    </row>
    <row r="212" spans="1:24" hidden="1" x14ac:dyDescent="0.25">
      <c r="A212" s="99"/>
      <c r="B212" s="170"/>
      <c r="C212" s="40"/>
      <c r="D212" s="41"/>
      <c r="E212" s="42"/>
      <c r="F212" s="3"/>
      <c r="G212" s="53"/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56"/>
      <c r="S212" s="225"/>
      <c r="T212" s="231"/>
      <c r="U212" s="225"/>
      <c r="V212" s="225"/>
      <c r="W212" s="231"/>
      <c r="X212" s="231"/>
    </row>
    <row r="213" spans="1:24" ht="13.8" hidden="1" thickBot="1" x14ac:dyDescent="0.3">
      <c r="A213" s="99"/>
      <c r="B213" s="146" t="s">
        <v>76</v>
      </c>
      <c r="C213" s="172"/>
      <c r="D213" s="171"/>
      <c r="E213" s="173"/>
      <c r="F213" s="50">
        <f>SUM(F208:F211)</f>
        <v>0</v>
      </c>
      <c r="G213" s="50">
        <f>SUM(G208:G211)</f>
        <v>0</v>
      </c>
      <c r="H213" s="244"/>
      <c r="I213" s="244"/>
      <c r="J213" s="244"/>
      <c r="K213" s="244"/>
      <c r="L213" s="244"/>
      <c r="M213" s="244"/>
      <c r="N213" s="244"/>
      <c r="O213" s="244"/>
      <c r="P213" s="244"/>
      <c r="Q213" s="253"/>
      <c r="R213" s="263"/>
      <c r="S213" s="237">
        <f t="shared" si="13"/>
        <v>0</v>
      </c>
      <c r="T213" s="238">
        <f t="shared" si="14"/>
        <v>0</v>
      </c>
      <c r="U213" s="237">
        <f t="shared" si="15"/>
        <v>0</v>
      </c>
      <c r="V213" s="237">
        <f t="shared" si="16"/>
        <v>0</v>
      </c>
      <c r="W213" s="238">
        <f t="shared" si="17"/>
        <v>0</v>
      </c>
      <c r="X213" s="238"/>
    </row>
    <row r="214" spans="1:24" hidden="1" x14ac:dyDescent="0.25">
      <c r="B214" s="174"/>
      <c r="F214" s="175"/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57"/>
      <c r="S214" s="225"/>
      <c r="T214" s="231"/>
      <c r="U214" s="225"/>
      <c r="V214" s="225"/>
      <c r="W214" s="231"/>
      <c r="X214" s="231"/>
    </row>
    <row r="215" spans="1:24" x14ac:dyDescent="0.25">
      <c r="A215" s="99" t="s">
        <v>119</v>
      </c>
      <c r="B215" s="99" t="s">
        <v>193</v>
      </c>
      <c r="C215" s="2"/>
      <c r="D215" s="142"/>
      <c r="E215" s="143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x14ac:dyDescent="0.25">
      <c r="A216" s="109" t="s">
        <v>120</v>
      </c>
      <c r="B216" s="170" t="s">
        <v>782</v>
      </c>
      <c r="C216" s="35" t="s">
        <v>369</v>
      </c>
      <c r="D216" s="36">
        <v>1</v>
      </c>
      <c r="E216" s="39">
        <v>1500000</v>
      </c>
      <c r="F216" s="3">
        <f>D216*E216</f>
        <v>1500000</v>
      </c>
      <c r="G216" s="317">
        <f>F216*C4</f>
        <v>1000.0000000000005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 t="shared" si="13"/>
        <v>-1500000</v>
      </c>
      <c r="T216" s="231">
        <f t="shared" si="14"/>
        <v>-1</v>
      </c>
      <c r="U216" s="225">
        <f t="shared" si="15"/>
        <v>0</v>
      </c>
      <c r="V216" s="225">
        <f t="shared" si="16"/>
        <v>-1000.0000000000005</v>
      </c>
      <c r="W216" s="231">
        <f t="shared" si="17"/>
        <v>-1</v>
      </c>
      <c r="X216" s="231"/>
    </row>
    <row r="217" spans="1:24" hidden="1" x14ac:dyDescent="0.25">
      <c r="A217" s="109" t="s">
        <v>121</v>
      </c>
      <c r="B217" s="170" t="s">
        <v>130</v>
      </c>
      <c r="C217" s="35"/>
      <c r="D217" s="36"/>
      <c r="E217" s="39"/>
      <c r="F217" s="3">
        <f>D217*E217</f>
        <v>0</v>
      </c>
      <c r="G217" s="317">
        <f>F217*C4</f>
        <v>0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 t="shared" si="13"/>
        <v>0</v>
      </c>
      <c r="T217" s="231">
        <f t="shared" si="14"/>
        <v>0</v>
      </c>
      <c r="U217" s="225">
        <f t="shared" si="15"/>
        <v>0</v>
      </c>
      <c r="V217" s="225">
        <f t="shared" si="16"/>
        <v>0</v>
      </c>
      <c r="W217" s="231">
        <f t="shared" si="17"/>
        <v>0</v>
      </c>
      <c r="X217" s="231"/>
    </row>
    <row r="218" spans="1:24" hidden="1" x14ac:dyDescent="0.25">
      <c r="A218" s="109" t="s">
        <v>122</v>
      </c>
      <c r="B218" s="170" t="s">
        <v>128</v>
      </c>
      <c r="C218" s="35"/>
      <c r="D218" s="36"/>
      <c r="E218" s="39"/>
      <c r="F218" s="3">
        <f>D218*E218</f>
        <v>0</v>
      </c>
      <c r="G218" s="317">
        <f>F218*C4</f>
        <v>0</v>
      </c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62"/>
      <c r="S218" s="225">
        <f t="shared" si="13"/>
        <v>0</v>
      </c>
      <c r="T218" s="231">
        <f t="shared" si="14"/>
        <v>0</v>
      </c>
      <c r="U218" s="225">
        <f t="shared" si="15"/>
        <v>0</v>
      </c>
      <c r="V218" s="225">
        <f t="shared" si="16"/>
        <v>0</v>
      </c>
      <c r="W218" s="231">
        <f t="shared" si="17"/>
        <v>0</v>
      </c>
      <c r="X218" s="231"/>
    </row>
    <row r="219" spans="1:24" x14ac:dyDescent="0.25">
      <c r="A219" s="109" t="s">
        <v>123</v>
      </c>
      <c r="B219" s="170" t="s">
        <v>370</v>
      </c>
      <c r="C219" s="35"/>
      <c r="D219" s="36"/>
      <c r="E219" s="39"/>
      <c r="F219" s="3">
        <f>D219*E219</f>
        <v>0</v>
      </c>
      <c r="G219" s="317">
        <f>F219*C4</f>
        <v>0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 t="shared" si="13"/>
        <v>0</v>
      </c>
      <c r="T219" s="231">
        <f t="shared" si="14"/>
        <v>0</v>
      </c>
      <c r="U219" s="225">
        <f t="shared" si="15"/>
        <v>0</v>
      </c>
      <c r="V219" s="225">
        <f t="shared" si="16"/>
        <v>0</v>
      </c>
      <c r="W219" s="231">
        <f t="shared" si="17"/>
        <v>0</v>
      </c>
      <c r="X219" s="231"/>
    </row>
    <row r="220" spans="1:24" x14ac:dyDescent="0.25">
      <c r="A220" s="99"/>
      <c r="B220" s="170"/>
      <c r="C220" s="40"/>
      <c r="D220" s="41"/>
      <c r="E220" s="42"/>
      <c r="F220" s="3"/>
      <c r="G220" s="53"/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56"/>
      <c r="S220" s="225"/>
      <c r="T220" s="231"/>
      <c r="U220" s="225"/>
      <c r="V220" s="225"/>
      <c r="W220" s="231"/>
      <c r="X220" s="231"/>
    </row>
    <row r="221" spans="1:24" ht="13.8" thickBot="1" x14ac:dyDescent="0.3">
      <c r="A221" s="99"/>
      <c r="B221" s="146" t="s">
        <v>194</v>
      </c>
      <c r="C221" s="172"/>
      <c r="D221" s="171"/>
      <c r="E221" s="173"/>
      <c r="F221" s="50">
        <f>SUM(F216:F219)</f>
        <v>1500000</v>
      </c>
      <c r="G221" s="50">
        <f>SUM(G216:G219)</f>
        <v>1000.0000000000005</v>
      </c>
      <c r="H221" s="244"/>
      <c r="I221" s="244"/>
      <c r="J221" s="244"/>
      <c r="K221" s="244"/>
      <c r="L221" s="244"/>
      <c r="M221" s="244"/>
      <c r="N221" s="244"/>
      <c r="O221" s="244"/>
      <c r="P221" s="244"/>
      <c r="Q221" s="253"/>
      <c r="R221" s="263"/>
      <c r="S221" s="237">
        <f t="shared" si="13"/>
        <v>-1500000</v>
      </c>
      <c r="T221" s="238">
        <f t="shared" si="14"/>
        <v>-1</v>
      </c>
      <c r="U221" s="237">
        <f t="shared" si="15"/>
        <v>0</v>
      </c>
      <c r="V221" s="237">
        <f t="shared" si="16"/>
        <v>-1000.0000000000005</v>
      </c>
      <c r="W221" s="238">
        <f t="shared" si="17"/>
        <v>-1</v>
      </c>
      <c r="X221" s="238"/>
    </row>
    <row r="222" spans="1:24" ht="13.8" hidden="1" thickTop="1" x14ac:dyDescent="0.25">
      <c r="B222" s="174"/>
      <c r="F222" s="175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7"/>
      <c r="S222" s="225"/>
      <c r="T222" s="231"/>
      <c r="U222" s="225"/>
      <c r="V222" s="225"/>
      <c r="W222" s="231"/>
      <c r="X222" s="231"/>
    </row>
    <row r="223" spans="1:24" hidden="1" x14ac:dyDescent="0.25">
      <c r="A223" s="99" t="s">
        <v>157</v>
      </c>
      <c r="B223" s="99" t="s">
        <v>156</v>
      </c>
      <c r="C223" s="2"/>
      <c r="D223" s="142"/>
      <c r="E223" s="143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hidden="1" x14ac:dyDescent="0.25">
      <c r="A224" s="109" t="s">
        <v>162</v>
      </c>
      <c r="B224" s="170" t="s">
        <v>294</v>
      </c>
      <c r="C224" s="35"/>
      <c r="D224" s="36"/>
      <c r="E224" s="39"/>
      <c r="F224" s="3">
        <f>D224*E224</f>
        <v>0</v>
      </c>
      <c r="G224" s="53">
        <f>F224*C4</f>
        <v>0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 t="shared" si="13"/>
        <v>0</v>
      </c>
      <c r="T224" s="231">
        <f t="shared" si="14"/>
        <v>0</v>
      </c>
      <c r="U224" s="225">
        <f t="shared" si="15"/>
        <v>0</v>
      </c>
      <c r="V224" s="225">
        <f t="shared" si="16"/>
        <v>0</v>
      </c>
      <c r="W224" s="231">
        <f t="shared" si="17"/>
        <v>0</v>
      </c>
      <c r="X224" s="231"/>
    </row>
    <row r="225" spans="1:24" hidden="1" x14ac:dyDescent="0.25">
      <c r="A225" s="109" t="s">
        <v>163</v>
      </c>
      <c r="B225" s="170" t="s">
        <v>159</v>
      </c>
      <c r="C225" s="35"/>
      <c r="D225" s="36"/>
      <c r="E225" s="39"/>
      <c r="F225" s="3">
        <f>D225*E225</f>
        <v>0</v>
      </c>
      <c r="G225" s="53">
        <f>F225*C4</f>
        <v>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 t="shared" si="13"/>
        <v>0</v>
      </c>
      <c r="T225" s="231">
        <f t="shared" si="14"/>
        <v>0</v>
      </c>
      <c r="U225" s="225">
        <f t="shared" si="15"/>
        <v>0</v>
      </c>
      <c r="V225" s="225">
        <f t="shared" si="16"/>
        <v>0</v>
      </c>
      <c r="W225" s="231">
        <f t="shared" si="17"/>
        <v>0</v>
      </c>
      <c r="X225" s="231"/>
    </row>
    <row r="226" spans="1:24" hidden="1" x14ac:dyDescent="0.25">
      <c r="A226" s="109" t="s">
        <v>164</v>
      </c>
      <c r="B226" s="170" t="s">
        <v>160</v>
      </c>
      <c r="C226" s="35"/>
      <c r="D226" s="36"/>
      <c r="E226" s="39"/>
      <c r="F226" s="3">
        <f>D226*E226</f>
        <v>0</v>
      </c>
      <c r="G226" s="53">
        <f>F226*C4</f>
        <v>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 t="shared" si="13"/>
        <v>0</v>
      </c>
      <c r="T226" s="231">
        <f t="shared" si="14"/>
        <v>0</v>
      </c>
      <c r="U226" s="225">
        <f t="shared" si="15"/>
        <v>0</v>
      </c>
      <c r="V226" s="225">
        <f t="shared" si="16"/>
        <v>0</v>
      </c>
      <c r="W226" s="231">
        <f t="shared" si="17"/>
        <v>0</v>
      </c>
      <c r="X226" s="231"/>
    </row>
    <row r="227" spans="1:24" hidden="1" x14ac:dyDescent="0.25">
      <c r="A227" s="99"/>
      <c r="B227" s="170"/>
      <c r="C227" s="40"/>
      <c r="D227" s="41"/>
      <c r="E227" s="42"/>
      <c r="F227" s="3"/>
      <c r="G227" s="53"/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56"/>
      <c r="S227" s="237"/>
      <c r="T227" s="238"/>
      <c r="U227" s="237"/>
      <c r="V227" s="237"/>
      <c r="W227" s="238"/>
      <c r="X227" s="238"/>
    </row>
    <row r="228" spans="1:24" ht="13.8" hidden="1" thickBot="1" x14ac:dyDescent="0.3">
      <c r="A228" s="99"/>
      <c r="B228" s="146" t="s">
        <v>161</v>
      </c>
      <c r="C228" s="172"/>
      <c r="D228" s="171"/>
      <c r="E228" s="173"/>
      <c r="F228" s="50">
        <f>SUM(F224:F226)</f>
        <v>0</v>
      </c>
      <c r="G228" s="50">
        <f>SUM(G224:G226)</f>
        <v>0</v>
      </c>
      <c r="H228" s="244"/>
      <c r="I228" s="244"/>
      <c r="J228" s="244"/>
      <c r="K228" s="244"/>
      <c r="L228" s="244"/>
      <c r="M228" s="244"/>
      <c r="N228" s="244"/>
      <c r="O228" s="244"/>
      <c r="P228" s="244"/>
      <c r="Q228" s="253"/>
      <c r="R228" s="263"/>
      <c r="S228" s="237">
        <f t="shared" si="13"/>
        <v>0</v>
      </c>
      <c r="T228" s="238">
        <f t="shared" si="14"/>
        <v>0</v>
      </c>
      <c r="U228" s="237">
        <f t="shared" si="15"/>
        <v>0</v>
      </c>
      <c r="V228" s="237">
        <f t="shared" si="16"/>
        <v>0</v>
      </c>
      <c r="W228" s="238">
        <f t="shared" si="17"/>
        <v>0</v>
      </c>
      <c r="X228" s="238"/>
    </row>
    <row r="229" spans="1:24" ht="13.8" thickTop="1" x14ac:dyDescent="0.25">
      <c r="A229" s="99"/>
      <c r="B229" s="146"/>
      <c r="C229" s="172"/>
      <c r="D229" s="171"/>
      <c r="E229" s="173"/>
      <c r="F229" s="169"/>
      <c r="G229" s="169"/>
      <c r="H229" s="244"/>
      <c r="I229" s="244"/>
      <c r="J229" s="244"/>
      <c r="K229" s="244"/>
      <c r="L229" s="244"/>
      <c r="M229" s="244"/>
      <c r="N229" s="244"/>
      <c r="O229" s="244"/>
      <c r="P229" s="244"/>
      <c r="Q229" s="253"/>
      <c r="R229" s="263"/>
      <c r="S229" s="237"/>
      <c r="T229" s="238"/>
      <c r="U229" s="237"/>
      <c r="V229" s="237"/>
      <c r="W229" s="238"/>
      <c r="X229" s="238"/>
    </row>
    <row r="230" spans="1:24" x14ac:dyDescent="0.25">
      <c r="A230" s="99" t="s">
        <v>310</v>
      </c>
      <c r="B230" s="146" t="s">
        <v>313</v>
      </c>
      <c r="C230" s="172"/>
      <c r="D230" s="171"/>
      <c r="E230" s="173"/>
      <c r="F230" s="169"/>
      <c r="G230" s="169"/>
      <c r="H230" s="244"/>
      <c r="I230" s="244"/>
      <c r="J230" s="244"/>
      <c r="K230" s="244"/>
      <c r="L230" s="244"/>
      <c r="M230" s="244"/>
      <c r="N230" s="244"/>
      <c r="O230" s="244"/>
      <c r="P230" s="244"/>
      <c r="Q230" s="253"/>
      <c r="R230" s="263"/>
      <c r="S230" s="237"/>
      <c r="T230" s="238"/>
      <c r="U230" s="237"/>
      <c r="V230" s="237"/>
      <c r="W230" s="238"/>
      <c r="X230" s="238"/>
    </row>
    <row r="231" spans="1:24" x14ac:dyDescent="0.25">
      <c r="A231" s="109" t="s">
        <v>315</v>
      </c>
      <c r="B231" s="157" t="s">
        <v>314</v>
      </c>
      <c r="C231" s="172"/>
      <c r="D231" s="171"/>
      <c r="E231" s="173">
        <f ca="1">F255/1.03*3%</f>
        <v>25998525</v>
      </c>
      <c r="F231" s="169">
        <f ca="1">E231</f>
        <v>25998525</v>
      </c>
      <c r="G231" s="169">
        <f ca="1">F231*C4</f>
        <v>17332.350000000009</v>
      </c>
      <c r="H231" s="244"/>
      <c r="I231" s="244"/>
      <c r="J231" s="244"/>
      <c r="K231" s="244"/>
      <c r="L231" s="244"/>
      <c r="M231" s="244"/>
      <c r="N231" s="244"/>
      <c r="O231" s="244"/>
      <c r="P231" s="244"/>
      <c r="Q231" s="253"/>
      <c r="R231" s="263" t="e">
        <f>#REF!/1.03*3%</f>
        <v>#REF!</v>
      </c>
      <c r="S231" s="237"/>
      <c r="T231" s="238"/>
      <c r="U231" s="237" t="e">
        <f>R231*C4</f>
        <v>#REF!</v>
      </c>
      <c r="V231" s="237"/>
      <c r="W231" s="238"/>
      <c r="X231" s="238"/>
    </row>
    <row r="232" spans="1:24" x14ac:dyDescent="0.25">
      <c r="A232" s="109"/>
      <c r="B232" s="157"/>
      <c r="C232" s="172"/>
      <c r="D232" s="171"/>
      <c r="E232" s="173"/>
      <c r="F232" s="169"/>
      <c r="G232" s="169"/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/>
      <c r="S232" s="237"/>
      <c r="T232" s="238"/>
      <c r="U232" s="237"/>
      <c r="V232" s="237"/>
      <c r="W232" s="238"/>
      <c r="X232" s="238"/>
    </row>
    <row r="233" spans="1:24" ht="13.8" thickBot="1" x14ac:dyDescent="0.3">
      <c r="A233" s="99"/>
      <c r="B233" s="146" t="s">
        <v>316</v>
      </c>
      <c r="C233" s="172"/>
      <c r="D233" s="171"/>
      <c r="E233" s="173"/>
      <c r="F233" s="50">
        <f ca="1">F231</f>
        <v>25998525</v>
      </c>
      <c r="G233" s="50">
        <f ca="1">G231</f>
        <v>17332.350000000009</v>
      </c>
      <c r="H233" s="267"/>
      <c r="I233" s="244"/>
      <c r="J233" s="244"/>
      <c r="K233" s="244"/>
      <c r="L233" s="244"/>
      <c r="M233" s="244"/>
      <c r="N233" s="244"/>
      <c r="O233" s="244"/>
      <c r="P233" s="244"/>
      <c r="Q233" s="253"/>
      <c r="R233" s="263"/>
      <c r="S233" s="237"/>
      <c r="T233" s="238"/>
      <c r="U233" s="237"/>
      <c r="V233" s="237"/>
      <c r="W233" s="238"/>
      <c r="X233" s="238"/>
    </row>
    <row r="234" spans="1:24" ht="13.8" thickTop="1" x14ac:dyDescent="0.25">
      <c r="A234" s="99"/>
      <c r="B234" s="146"/>
      <c r="C234" s="118"/>
      <c r="D234" s="122"/>
      <c r="E234" s="123"/>
      <c r="F234" s="169"/>
      <c r="G234" s="169"/>
      <c r="H234" s="244"/>
      <c r="I234" s="244"/>
      <c r="J234" s="244"/>
      <c r="K234" s="244"/>
      <c r="L234" s="244"/>
      <c r="M234" s="244"/>
      <c r="N234" s="244"/>
      <c r="O234" s="244"/>
      <c r="P234" s="244"/>
      <c r="Q234" s="253"/>
      <c r="R234" s="259"/>
      <c r="S234" s="225"/>
      <c r="T234" s="231"/>
      <c r="U234" s="225"/>
      <c r="V234" s="225"/>
      <c r="W234" s="231"/>
      <c r="X234" s="231"/>
    </row>
    <row r="235" spans="1:24" x14ac:dyDescent="0.25">
      <c r="A235" s="99"/>
      <c r="B235" s="146"/>
      <c r="C235" s="118"/>
      <c r="D235" s="122"/>
      <c r="E235" s="123"/>
      <c r="F235" s="169"/>
      <c r="G235" s="169"/>
      <c r="H235" s="244"/>
      <c r="I235" s="244"/>
      <c r="J235" s="244"/>
      <c r="K235" s="244"/>
      <c r="L235" s="244"/>
      <c r="M235" s="244"/>
      <c r="N235" s="244"/>
      <c r="O235" s="244"/>
      <c r="P235" s="244"/>
      <c r="Q235" s="253"/>
      <c r="R235" s="259"/>
      <c r="S235" s="225"/>
      <c r="T235" s="231"/>
      <c r="U235" s="225"/>
      <c r="V235" s="225"/>
      <c r="W235" s="231"/>
      <c r="X235" s="231"/>
    </row>
    <row r="236" spans="1:24" ht="13.8" thickBot="1" x14ac:dyDescent="0.3">
      <c r="A236" s="176"/>
      <c r="B236" s="177" t="s">
        <v>49</v>
      </c>
      <c r="C236" s="179"/>
      <c r="D236" s="178"/>
      <c r="E236" s="180"/>
      <c r="F236" s="54">
        <f ca="1">SUM(F100+F164+F176+F195+F204+F213+F221+F228+F233)</f>
        <v>810666525</v>
      </c>
      <c r="G236" s="54">
        <f ca="1">F236*C4</f>
        <v>540444.35000000021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26">
        <f t="shared" ca="1" si="13"/>
        <v>-810666525</v>
      </c>
      <c r="T236" s="236">
        <f t="shared" ca="1" si="14"/>
        <v>-1</v>
      </c>
      <c r="U236" s="226">
        <f t="shared" si="15"/>
        <v>0</v>
      </c>
      <c r="V236" s="226">
        <f t="shared" ca="1" si="16"/>
        <v>-540444.35000000021</v>
      </c>
      <c r="W236" s="236">
        <f t="shared" ca="1" si="17"/>
        <v>-1</v>
      </c>
      <c r="X236" s="236"/>
    </row>
    <row r="237" spans="1:24" ht="13.8" thickTop="1" x14ac:dyDescent="0.25">
      <c r="B237" s="87"/>
      <c r="F237" s="48"/>
      <c r="H237" s="242"/>
      <c r="I237" s="242"/>
      <c r="J237" s="242"/>
      <c r="K237" s="242"/>
      <c r="L237" s="242"/>
      <c r="M237" s="242"/>
      <c r="N237" s="242"/>
      <c r="O237" s="242"/>
      <c r="P237" s="242"/>
      <c r="Q237" s="251"/>
      <c r="R237" s="257"/>
      <c r="S237" s="225"/>
      <c r="T237" s="231"/>
      <c r="U237" s="225"/>
      <c r="V237" s="225"/>
      <c r="W237" s="231"/>
      <c r="X237" s="231"/>
    </row>
    <row r="238" spans="1:24" x14ac:dyDescent="0.25">
      <c r="A238" s="70" t="s">
        <v>57</v>
      </c>
      <c r="F238" s="48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7"/>
      <c r="S238" s="225"/>
      <c r="T238" s="231"/>
      <c r="U238" s="225"/>
      <c r="V238" s="225"/>
      <c r="W238" s="231"/>
      <c r="X238" s="231"/>
    </row>
    <row r="239" spans="1:24" x14ac:dyDescent="0.25">
      <c r="A239" s="70" t="s">
        <v>18</v>
      </c>
      <c r="B239" s="181" t="s">
        <v>9</v>
      </c>
      <c r="F239" s="48"/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57"/>
      <c r="S239" s="225"/>
      <c r="T239" s="231"/>
      <c r="U239" s="225"/>
      <c r="V239" s="225"/>
      <c r="W239" s="231"/>
      <c r="X239" s="231"/>
    </row>
    <row r="240" spans="1:24" ht="26.4" x14ac:dyDescent="0.25">
      <c r="B240" s="137" t="s">
        <v>850</v>
      </c>
      <c r="C240" s="361" t="s">
        <v>322</v>
      </c>
      <c r="D240" s="36">
        <v>12</v>
      </c>
      <c r="E240" s="39">
        <v>4900000</v>
      </c>
      <c r="F240" s="48">
        <f>D240*E240</f>
        <v>58800000</v>
      </c>
      <c r="G240" s="49">
        <f>F240*C4</f>
        <v>39200.000000000015</v>
      </c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62"/>
      <c r="S240" s="225">
        <f t="shared" si="13"/>
        <v>-58800000</v>
      </c>
      <c r="T240" s="231">
        <f t="shared" si="14"/>
        <v>-1</v>
      </c>
      <c r="U240" s="225">
        <f t="shared" si="15"/>
        <v>0</v>
      </c>
      <c r="V240" s="225">
        <f t="shared" si="16"/>
        <v>-39200.000000000015</v>
      </c>
      <c r="W240" s="231">
        <f t="shared" si="17"/>
        <v>-1</v>
      </c>
      <c r="X240" s="231"/>
    </row>
    <row r="241" spans="1:25" hidden="1" x14ac:dyDescent="0.25">
      <c r="B241" s="137"/>
      <c r="C241" s="35"/>
      <c r="D241" s="36"/>
      <c r="E241" s="39"/>
      <c r="F241" s="48"/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62"/>
      <c r="S241" s="225">
        <f t="shared" si="13"/>
        <v>0</v>
      </c>
      <c r="T241" s="231">
        <f t="shared" si="14"/>
        <v>0</v>
      </c>
      <c r="U241" s="225">
        <f t="shared" si="15"/>
        <v>0</v>
      </c>
      <c r="V241" s="225">
        <f t="shared" si="16"/>
        <v>0</v>
      </c>
      <c r="W241" s="231">
        <f t="shared" si="17"/>
        <v>0</v>
      </c>
      <c r="X241" s="231"/>
    </row>
    <row r="242" spans="1:25" hidden="1" x14ac:dyDescent="0.25">
      <c r="B242" s="137"/>
      <c r="C242" s="286"/>
      <c r="D242" s="36"/>
      <c r="E242" s="39"/>
      <c r="F242" s="48"/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62"/>
      <c r="S242" s="225">
        <f t="shared" si="13"/>
        <v>0</v>
      </c>
      <c r="T242" s="231">
        <f t="shared" si="14"/>
        <v>0</v>
      </c>
      <c r="U242" s="225">
        <f t="shared" si="15"/>
        <v>0</v>
      </c>
      <c r="V242" s="225">
        <f t="shared" si="16"/>
        <v>0</v>
      </c>
      <c r="W242" s="231">
        <f t="shared" si="17"/>
        <v>0</v>
      </c>
      <c r="X242" s="231"/>
    </row>
    <row r="243" spans="1:25" x14ac:dyDescent="0.25">
      <c r="B243" s="182" t="s">
        <v>35</v>
      </c>
      <c r="C243" s="6"/>
      <c r="D243" s="7"/>
      <c r="E243" s="8"/>
      <c r="F243" s="48"/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57"/>
      <c r="S243" s="225"/>
      <c r="T243" s="231"/>
      <c r="U243" s="225"/>
      <c r="V243" s="225"/>
      <c r="W243" s="231"/>
      <c r="X243" s="231"/>
    </row>
    <row r="244" spans="1:25" x14ac:dyDescent="0.25">
      <c r="B244" s="137" t="s">
        <v>856</v>
      </c>
      <c r="C244" s="35" t="s">
        <v>392</v>
      </c>
      <c r="D244" s="36">
        <v>12</v>
      </c>
      <c r="E244" s="39">
        <v>641625</v>
      </c>
      <c r="F244" s="48">
        <f>D244*E244</f>
        <v>7699500</v>
      </c>
      <c r="G244" s="49">
        <f>F244*C4</f>
        <v>5133.0000000000027</v>
      </c>
      <c r="H244" s="242"/>
      <c r="I244" s="242"/>
      <c r="J244" s="242"/>
      <c r="K244" s="242"/>
      <c r="L244" s="242"/>
      <c r="M244" s="242"/>
      <c r="N244" s="242"/>
      <c r="O244" s="242"/>
      <c r="P244" s="242"/>
      <c r="Q244" s="251"/>
      <c r="R244" s="262"/>
      <c r="S244" s="225">
        <f t="shared" si="13"/>
        <v>-7699500</v>
      </c>
      <c r="T244" s="231">
        <f t="shared" si="14"/>
        <v>-1</v>
      </c>
      <c r="U244" s="225">
        <f t="shared" si="15"/>
        <v>0</v>
      </c>
      <c r="V244" s="225">
        <f t="shared" si="16"/>
        <v>-5133.0000000000027</v>
      </c>
      <c r="W244" s="231">
        <f t="shared" si="17"/>
        <v>-1</v>
      </c>
      <c r="X244" s="231"/>
    </row>
    <row r="245" spans="1:25" x14ac:dyDescent="0.25">
      <c r="B245" s="137" t="s">
        <v>857</v>
      </c>
      <c r="C245" s="35" t="s">
        <v>392</v>
      </c>
      <c r="D245" s="36">
        <v>12</v>
      </c>
      <c r="E245" s="39">
        <v>562500</v>
      </c>
      <c r="F245" s="48">
        <f>D245*E245</f>
        <v>6750000</v>
      </c>
      <c r="G245" s="49">
        <f>F245*C4</f>
        <v>4500.0000000000018</v>
      </c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62"/>
      <c r="S245" s="225">
        <f t="shared" si="13"/>
        <v>-6750000</v>
      </c>
      <c r="T245" s="231">
        <f t="shared" si="14"/>
        <v>-1</v>
      </c>
      <c r="U245" s="225">
        <f t="shared" si="15"/>
        <v>0</v>
      </c>
      <c r="V245" s="225">
        <f t="shared" si="16"/>
        <v>-4500.0000000000018</v>
      </c>
      <c r="W245" s="231">
        <f t="shared" si="17"/>
        <v>-1</v>
      </c>
      <c r="X245" s="231"/>
    </row>
    <row r="246" spans="1:25" x14ac:dyDescent="0.25">
      <c r="B246" s="137" t="s">
        <v>38</v>
      </c>
      <c r="C246" s="35" t="s">
        <v>393</v>
      </c>
      <c r="D246" s="36">
        <v>12</v>
      </c>
      <c r="E246" s="39">
        <v>350000</v>
      </c>
      <c r="F246" s="48">
        <f>D246*E246</f>
        <v>4200000</v>
      </c>
      <c r="G246" s="49">
        <f>F246*C4</f>
        <v>2800.0000000000014</v>
      </c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62"/>
      <c r="S246" s="225">
        <f t="shared" si="13"/>
        <v>-4200000</v>
      </c>
      <c r="T246" s="231">
        <f t="shared" si="14"/>
        <v>-1</v>
      </c>
      <c r="U246" s="225">
        <f t="shared" si="15"/>
        <v>0</v>
      </c>
      <c r="V246" s="225">
        <f t="shared" si="16"/>
        <v>-2800.0000000000014</v>
      </c>
      <c r="W246" s="231">
        <f t="shared" si="17"/>
        <v>-1</v>
      </c>
      <c r="X246" s="231"/>
    </row>
    <row r="247" spans="1:25" x14ac:dyDescent="0.25">
      <c r="B247" s="182" t="s">
        <v>39</v>
      </c>
      <c r="C247" s="6"/>
      <c r="D247" s="7"/>
      <c r="E247" s="8"/>
      <c r="F247" s="48"/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57"/>
      <c r="S247" s="225"/>
      <c r="T247" s="231"/>
      <c r="U247" s="225"/>
      <c r="V247" s="225"/>
      <c r="W247" s="231"/>
      <c r="X247" s="231"/>
    </row>
    <row r="248" spans="1:25" x14ac:dyDescent="0.25">
      <c r="B248" s="137" t="s">
        <v>40</v>
      </c>
      <c r="C248" s="35" t="s">
        <v>392</v>
      </c>
      <c r="D248" s="36">
        <v>12</v>
      </c>
      <c r="E248" s="39">
        <v>375000</v>
      </c>
      <c r="F248" s="48">
        <f>D248*E248</f>
        <v>4500000</v>
      </c>
      <c r="G248" s="49">
        <f>F248*C4</f>
        <v>3000.0000000000014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>
        <f t="shared" si="13"/>
        <v>-4500000</v>
      </c>
      <c r="T248" s="231">
        <f t="shared" si="14"/>
        <v>-1</v>
      </c>
      <c r="U248" s="225">
        <f t="shared" si="15"/>
        <v>0</v>
      </c>
      <c r="V248" s="225">
        <f t="shared" si="16"/>
        <v>-3000.0000000000014</v>
      </c>
      <c r="W248" s="231">
        <f t="shared" si="17"/>
        <v>-1</v>
      </c>
      <c r="X248" s="231"/>
    </row>
    <row r="249" spans="1:25" x14ac:dyDescent="0.25">
      <c r="B249" s="182" t="s">
        <v>41</v>
      </c>
      <c r="C249" s="5"/>
      <c r="D249" s="5"/>
      <c r="E249" s="5"/>
      <c r="F249" s="168"/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57"/>
      <c r="S249" s="225"/>
      <c r="T249" s="231"/>
      <c r="U249" s="225"/>
      <c r="V249" s="225"/>
      <c r="W249" s="231"/>
      <c r="X249" s="231"/>
    </row>
    <row r="250" spans="1:25" x14ac:dyDescent="0.25">
      <c r="B250" s="137" t="s">
        <v>42</v>
      </c>
      <c r="C250" s="35"/>
      <c r="D250" s="36"/>
      <c r="E250" s="39"/>
      <c r="F250" s="48">
        <f>D250*E250</f>
        <v>0</v>
      </c>
      <c r="G250" s="49">
        <f>F250*C4</f>
        <v>0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>
        <f t="shared" si="13"/>
        <v>0</v>
      </c>
      <c r="T250" s="231">
        <f t="shared" si="14"/>
        <v>0</v>
      </c>
      <c r="U250" s="225">
        <f t="shared" si="15"/>
        <v>0</v>
      </c>
      <c r="V250" s="225">
        <f t="shared" si="16"/>
        <v>0</v>
      </c>
      <c r="W250" s="231">
        <f t="shared" si="17"/>
        <v>0</v>
      </c>
      <c r="X250" s="231"/>
    </row>
    <row r="251" spans="1:25" x14ac:dyDescent="0.25">
      <c r="B251" s="149"/>
      <c r="C251" s="6"/>
      <c r="D251" s="7"/>
      <c r="E251" s="8"/>
      <c r="F251" s="48"/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57"/>
      <c r="S251" s="225"/>
      <c r="T251" s="231"/>
      <c r="U251" s="225"/>
      <c r="V251" s="225"/>
      <c r="W251" s="231"/>
      <c r="X251" s="231"/>
    </row>
    <row r="252" spans="1:25" x14ac:dyDescent="0.25">
      <c r="A252" s="177"/>
      <c r="B252" s="177" t="s">
        <v>58</v>
      </c>
      <c r="C252" s="179"/>
      <c r="D252" s="178"/>
      <c r="E252" s="180"/>
      <c r="F252" s="263">
        <f>SUM(F240+F241+F242+F244+F245+F246+F248+F250)</f>
        <v>81949500</v>
      </c>
      <c r="G252" s="319">
        <f>SUM(G240+G241+G242+G244+G245+G246+G248+G250)</f>
        <v>54633.000000000015</v>
      </c>
      <c r="H252" s="246"/>
      <c r="I252" s="246"/>
      <c r="J252" s="246"/>
      <c r="K252" s="246"/>
      <c r="L252" s="246"/>
      <c r="M252" s="246"/>
      <c r="N252" s="246"/>
      <c r="O252" s="246"/>
      <c r="P252" s="246"/>
      <c r="Q252" s="255"/>
      <c r="R252" s="265"/>
      <c r="S252" s="226">
        <f t="shared" si="13"/>
        <v>-81949500</v>
      </c>
      <c r="T252" s="236">
        <f t="shared" si="14"/>
        <v>-1</v>
      </c>
      <c r="U252" s="226">
        <f t="shared" si="15"/>
        <v>0</v>
      </c>
      <c r="V252" s="226">
        <f t="shared" si="16"/>
        <v>-54633.000000000015</v>
      </c>
      <c r="W252" s="236">
        <f t="shared" si="17"/>
        <v>-1</v>
      </c>
      <c r="X252" s="236"/>
    </row>
    <row r="253" spans="1:25" x14ac:dyDescent="0.25">
      <c r="A253" s="146"/>
      <c r="B253" s="146"/>
      <c r="C253" s="118"/>
      <c r="D253" s="122"/>
      <c r="E253" s="123"/>
      <c r="F253" s="55">
        <f ca="1">(F252/F255)</f>
        <v>9.1808232996937286E-2</v>
      </c>
      <c r="G253" s="55">
        <f ca="1">(G252/G255)</f>
        <v>9.1808232996937286E-2</v>
      </c>
      <c r="H253" s="247"/>
      <c r="I253" s="248"/>
      <c r="J253" s="248"/>
      <c r="K253" s="248"/>
      <c r="L253" s="248"/>
      <c r="M253" s="248"/>
      <c r="N253" s="248"/>
      <c r="O253" s="248"/>
      <c r="P253" s="248"/>
      <c r="Q253" s="248"/>
      <c r="R253" s="228"/>
      <c r="S253" s="228"/>
      <c r="T253" s="228"/>
      <c r="U253" s="228"/>
      <c r="V253" s="228"/>
      <c r="W253" s="183" t="s">
        <v>180</v>
      </c>
      <c r="X253" s="183"/>
      <c r="Y253" s="53"/>
    </row>
    <row r="254" spans="1:25" x14ac:dyDescent="0.25"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1"/>
      <c r="S254" s="1"/>
      <c r="T254" s="1"/>
      <c r="U254" s="1"/>
      <c r="V254" s="1"/>
    </row>
    <row r="255" spans="1:25" ht="13.8" thickBot="1" x14ac:dyDescent="0.3">
      <c r="A255" s="275"/>
      <c r="B255" s="275" t="s">
        <v>318</v>
      </c>
      <c r="C255" s="276"/>
      <c r="D255" s="277"/>
      <c r="E255" s="274"/>
      <c r="F255" s="278">
        <f ca="1">SUM(F236+F252)</f>
        <v>892616025</v>
      </c>
      <c r="G255" s="278">
        <f ca="1">G236+G252</f>
        <v>595077.35000000021</v>
      </c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175"/>
      <c r="S255" s="175"/>
      <c r="T255" s="175"/>
      <c r="U255" s="175"/>
      <c r="V255" s="175"/>
    </row>
    <row r="256" spans="1:25" ht="13.8" thickTop="1" x14ac:dyDescent="0.25">
      <c r="F256" s="4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"/>
      <c r="S256" s="1"/>
      <c r="T256" s="1"/>
      <c r="U256" s="1"/>
      <c r="V256" s="1"/>
    </row>
    <row r="257" spans="1:22" ht="13.8" thickBot="1" x14ac:dyDescent="0.3">
      <c r="A257" s="184" t="s">
        <v>24</v>
      </c>
      <c r="B257" s="185"/>
      <c r="C257" s="186"/>
      <c r="D257" s="187"/>
      <c r="E257" s="188"/>
      <c r="F257" s="56">
        <f ca="1">SUM(F255-F73)</f>
        <v>892616025</v>
      </c>
      <c r="G257" s="56">
        <f ca="1">SUM(G255-G73)</f>
        <v>595077.35000000021</v>
      </c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229"/>
      <c r="S257" s="229"/>
      <c r="T257" s="229"/>
      <c r="U257" s="229"/>
      <c r="V257" s="229"/>
    </row>
    <row r="258" spans="1:22" ht="13.8" thickTop="1" x14ac:dyDescent="0.25">
      <c r="F258" s="74"/>
    </row>
    <row r="259" spans="1:22" hidden="1" x14ac:dyDescent="0.25">
      <c r="A259" s="70" t="s">
        <v>15</v>
      </c>
      <c r="F259" s="74"/>
    </row>
    <row r="260" spans="1:22" hidden="1" x14ac:dyDescent="0.25">
      <c r="F260" s="74"/>
    </row>
    <row r="261" spans="1:22" ht="15" hidden="1" x14ac:dyDescent="0.4">
      <c r="B261" s="190" t="s">
        <v>16</v>
      </c>
      <c r="D261" s="191" t="s">
        <v>26</v>
      </c>
      <c r="F261" s="393" t="s">
        <v>17</v>
      </c>
      <c r="G261" s="394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</row>
    <row r="262" spans="1:22" ht="15" hidden="1" x14ac:dyDescent="0.4">
      <c r="D262" s="191"/>
      <c r="F262" s="74"/>
    </row>
    <row r="263" spans="1:22" hidden="1" x14ac:dyDescent="0.25">
      <c r="F263" s="74"/>
    </row>
    <row r="264" spans="1:22" hidden="1" x14ac:dyDescent="0.25">
      <c r="F264" s="74"/>
    </row>
    <row r="265" spans="1:22" hidden="1" x14ac:dyDescent="0.25">
      <c r="F265" s="74"/>
    </row>
    <row r="266" spans="1:22" hidden="1" x14ac:dyDescent="0.25">
      <c r="F266" s="74"/>
    </row>
    <row r="267" spans="1:22" hidden="1" x14ac:dyDescent="0.25">
      <c r="F267" s="74"/>
    </row>
    <row r="268" spans="1:22" x14ac:dyDescent="0.25">
      <c r="F268" s="74"/>
    </row>
    <row r="269" spans="1:22" x14ac:dyDescent="0.25">
      <c r="F269" s="74"/>
    </row>
    <row r="270" spans="1:22" x14ac:dyDescent="0.25">
      <c r="F270" s="74"/>
    </row>
    <row r="271" spans="1:22" x14ac:dyDescent="0.25">
      <c r="F271" s="74"/>
    </row>
    <row r="272" spans="1:22" x14ac:dyDescent="0.25">
      <c r="F272" s="74"/>
    </row>
    <row r="273" spans="6:6" x14ac:dyDescent="0.25">
      <c r="F273" s="74"/>
    </row>
    <row r="274" spans="6:6" x14ac:dyDescent="0.25">
      <c r="F274" s="74"/>
    </row>
    <row r="275" spans="6:6" x14ac:dyDescent="0.25">
      <c r="F275" s="74"/>
    </row>
    <row r="276" spans="6:6" x14ac:dyDescent="0.25">
      <c r="F276" s="74"/>
    </row>
    <row r="277" spans="6:6" x14ac:dyDescent="0.25">
      <c r="F277" s="74"/>
    </row>
    <row r="278" spans="6:6" x14ac:dyDescent="0.25">
      <c r="F278" s="74"/>
    </row>
    <row r="279" spans="6:6" x14ac:dyDescent="0.25">
      <c r="F279" s="74"/>
    </row>
    <row r="280" spans="6:6" x14ac:dyDescent="0.25">
      <c r="F280" s="74"/>
    </row>
    <row r="281" spans="6:6" x14ac:dyDescent="0.25">
      <c r="F281" s="74"/>
    </row>
    <row r="282" spans="6:6" x14ac:dyDescent="0.25">
      <c r="F282" s="74"/>
    </row>
    <row r="283" spans="6:6" x14ac:dyDescent="0.25">
      <c r="F283" s="74"/>
    </row>
    <row r="284" spans="6:6" x14ac:dyDescent="0.25">
      <c r="F284" s="74"/>
    </row>
    <row r="285" spans="6:6" x14ac:dyDescent="0.25">
      <c r="F285" s="74"/>
    </row>
    <row r="286" spans="6:6" x14ac:dyDescent="0.25">
      <c r="F286" s="74"/>
    </row>
    <row r="287" spans="6:6" x14ac:dyDescent="0.25">
      <c r="F287" s="74"/>
    </row>
    <row r="288" spans="6:6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</sheetData>
  <mergeCells count="3">
    <mergeCell ref="A1:G1"/>
    <mergeCell ref="F261:G261"/>
    <mergeCell ref="H76:Q76"/>
  </mergeCells>
  <conditionalFormatting sqref="F253:V253">
    <cfRule type="cellIs" dxfId="8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6"/>
  <sheetViews>
    <sheetView view="pageBreakPreview" zoomScaleNormal="100" zoomScaleSheetLayoutView="100" workbookViewId="0">
      <pane ySplit="78" topLeftCell="A273" activePane="bottomLeft" state="frozen"/>
      <selection pane="bottomLeft" activeCell="G79" sqref="G79"/>
    </sheetView>
  </sheetViews>
  <sheetFormatPr defaultColWidth="9.109375" defaultRowHeight="13.2" x14ac:dyDescent="0.25"/>
  <cols>
    <col min="1" max="1" width="7.332031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2.5546875" style="49" customWidth="1"/>
    <col min="8" max="17" width="10.109375" style="49" hidden="1" customWidth="1"/>
    <col min="18" max="19" width="13" style="49" hidden="1" customWidth="1"/>
    <col min="20" max="22" width="10.109375" style="49" hidden="1" customWidth="1"/>
    <col min="23" max="24" width="9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v>1.41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760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838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136" t="s">
        <v>80</v>
      </c>
      <c r="B83" s="203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59" si="1">R83-F83</f>
        <v>0</v>
      </c>
      <c r="T83" s="231">
        <f t="shared" ref="T83:T159" si="2">IF(F83=0,0,S83/F83)</f>
        <v>0</v>
      </c>
      <c r="U83" s="225">
        <f t="shared" ref="U83:U159" si="3">R83*$C$4</f>
        <v>0</v>
      </c>
      <c r="V83" s="225">
        <f t="shared" ref="V83:V159" si="4">U83-G83</f>
        <v>0</v>
      </c>
      <c r="W83" s="231">
        <f t="shared" ref="W83:W159" si="5">IF(G83=0,0,V83/G83)</f>
        <v>0</v>
      </c>
      <c r="X83" s="231"/>
    </row>
    <row r="84" spans="1:24" hidden="1" x14ac:dyDescent="0.25">
      <c r="A84" s="139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139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57" t="s">
        <v>394</v>
      </c>
      <c r="C91" s="21" t="s">
        <v>393</v>
      </c>
      <c r="D91" s="25">
        <v>12</v>
      </c>
      <c r="E91" s="18">
        <v>2240</v>
      </c>
      <c r="F91" s="48">
        <f t="shared" ref="F91:F96" si="6">D91*E91</f>
        <v>26880</v>
      </c>
      <c r="G91" s="295">
        <f>F91*C4</f>
        <v>37900.799999999996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-26880</v>
      </c>
      <c r="T91" s="231">
        <f t="shared" si="2"/>
        <v>-1</v>
      </c>
      <c r="U91" s="225">
        <f t="shared" si="3"/>
        <v>0</v>
      </c>
      <c r="V91" s="225">
        <f t="shared" si="4"/>
        <v>-37900.799999999996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395</v>
      </c>
      <c r="C92" s="21" t="s">
        <v>393</v>
      </c>
      <c r="D92" s="25">
        <v>12</v>
      </c>
      <c r="E92" s="18">
        <v>1470</v>
      </c>
      <c r="F92" s="48">
        <f t="shared" si="6"/>
        <v>17640</v>
      </c>
      <c r="G92" s="295">
        <f>F92*C4</f>
        <v>24872.399999999998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-17640</v>
      </c>
      <c r="T92" s="231">
        <f t="shared" si="2"/>
        <v>-1</v>
      </c>
      <c r="U92" s="225">
        <f t="shared" si="3"/>
        <v>0</v>
      </c>
      <c r="V92" s="225">
        <f t="shared" si="4"/>
        <v>-24872.399999999998</v>
      </c>
      <c r="W92" s="231">
        <f t="shared" si="5"/>
        <v>-1</v>
      </c>
      <c r="X92" s="231"/>
    </row>
    <row r="93" spans="1:24" ht="26.4" x14ac:dyDescent="0.25">
      <c r="A93" s="144" t="s">
        <v>89</v>
      </c>
      <c r="B93" s="57" t="s">
        <v>396</v>
      </c>
      <c r="C93" s="21" t="s">
        <v>393</v>
      </c>
      <c r="D93" s="25">
        <v>12</v>
      </c>
      <c r="E93" s="18">
        <f>+(1320*2)</f>
        <v>2640</v>
      </c>
      <c r="F93" s="48">
        <f t="shared" si="6"/>
        <v>31680</v>
      </c>
      <c r="G93" s="295">
        <f>F93*C4</f>
        <v>44668.799999999996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-31680</v>
      </c>
      <c r="T93" s="231">
        <f t="shared" si="2"/>
        <v>-1</v>
      </c>
      <c r="U93" s="225">
        <f t="shared" si="3"/>
        <v>0</v>
      </c>
      <c r="V93" s="225">
        <f t="shared" si="4"/>
        <v>-44668.799999999996</v>
      </c>
      <c r="W93" s="231">
        <f t="shared" si="5"/>
        <v>-1</v>
      </c>
      <c r="X93" s="231"/>
    </row>
    <row r="94" spans="1:24" x14ac:dyDescent="0.25">
      <c r="A94" s="144" t="s">
        <v>90</v>
      </c>
      <c r="B94" s="57" t="s">
        <v>397</v>
      </c>
      <c r="C94" s="21" t="s">
        <v>393</v>
      </c>
      <c r="D94" s="25">
        <v>12</v>
      </c>
      <c r="E94" s="18">
        <f>+((1120*3)*30%)</f>
        <v>1008</v>
      </c>
      <c r="F94" s="48">
        <f t="shared" si="6"/>
        <v>12096</v>
      </c>
      <c r="G94" s="295">
        <f>F94*C4</f>
        <v>17055.36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-12096</v>
      </c>
      <c r="T94" s="231">
        <f t="shared" si="2"/>
        <v>-1</v>
      </c>
      <c r="U94" s="225">
        <f t="shared" si="3"/>
        <v>0</v>
      </c>
      <c r="V94" s="225">
        <f t="shared" si="4"/>
        <v>-17055.36</v>
      </c>
      <c r="W94" s="231">
        <f t="shared" si="5"/>
        <v>-1</v>
      </c>
      <c r="X94" s="231"/>
    </row>
    <row r="95" spans="1:24" x14ac:dyDescent="0.25">
      <c r="A95" s="144" t="s">
        <v>91</v>
      </c>
      <c r="B95" s="57" t="s">
        <v>398</v>
      </c>
      <c r="C95" s="21" t="s">
        <v>393</v>
      </c>
      <c r="D95" s="25">
        <v>12</v>
      </c>
      <c r="E95" s="18">
        <f>1550*25%</f>
        <v>387.5</v>
      </c>
      <c r="F95" s="48">
        <f t="shared" si="6"/>
        <v>4650</v>
      </c>
      <c r="G95" s="295">
        <f>F95*C4</f>
        <v>6556.5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-4650</v>
      </c>
      <c r="T95" s="231">
        <f t="shared" si="2"/>
        <v>-1</v>
      </c>
      <c r="U95" s="225">
        <f t="shared" si="3"/>
        <v>0</v>
      </c>
      <c r="V95" s="225">
        <f t="shared" si="4"/>
        <v>-6556.5</v>
      </c>
      <c r="W95" s="231">
        <f t="shared" si="5"/>
        <v>-1</v>
      </c>
      <c r="X95" s="231"/>
    </row>
    <row r="96" spans="1:24" hidden="1" x14ac:dyDescent="0.25">
      <c r="A96" s="144" t="s">
        <v>92</v>
      </c>
      <c r="B96" s="57"/>
      <c r="C96" s="21"/>
      <c r="D96" s="25"/>
      <c r="E96" s="18"/>
      <c r="F96" s="48">
        <f t="shared" si="6"/>
        <v>0</v>
      </c>
      <c r="G96" s="295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185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hidden="1" x14ac:dyDescent="0.25">
      <c r="A99" s="194"/>
      <c r="B99" s="195" t="s">
        <v>186</v>
      </c>
      <c r="C99" s="196"/>
      <c r="D99" s="197"/>
      <c r="E99" s="198"/>
      <c r="F99" s="199">
        <f>SUM(F91:F97)</f>
        <v>92946</v>
      </c>
      <c r="G99" s="194">
        <f>SUM(G91:G97)</f>
        <v>131053.86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-92946</v>
      </c>
      <c r="T99" s="231">
        <f t="shared" si="2"/>
        <v>-1</v>
      </c>
      <c r="U99" s="225">
        <f t="shared" si="3"/>
        <v>0</v>
      </c>
      <c r="V99" s="225">
        <f t="shared" si="4"/>
        <v>-131053.86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92946</v>
      </c>
      <c r="G100" s="50">
        <f>SUM(G81+G83+G84+G85+G86+G87+G88+G91+G92+G93+G94+G95+G96)</f>
        <v>131053.86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-92946</v>
      </c>
      <c r="T100" s="238">
        <f t="shared" si="2"/>
        <v>-1</v>
      </c>
      <c r="U100" s="237">
        <f t="shared" si="3"/>
        <v>0</v>
      </c>
      <c r="V100" s="237">
        <f t="shared" si="4"/>
        <v>-131053.86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hidden="1" x14ac:dyDescent="0.25">
      <c r="A103" s="220" t="s">
        <v>94</v>
      </c>
      <c r="B103" s="221" t="s">
        <v>66</v>
      </c>
      <c r="C103" s="213"/>
      <c r="D103" s="214"/>
      <c r="E103" s="215"/>
      <c r="F103" s="208">
        <f>SUM(F104:F108)</f>
        <v>0</v>
      </c>
      <c r="G103" s="209">
        <f>SUM(G104:G108)</f>
        <v>0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0</v>
      </c>
      <c r="T103" s="240">
        <f t="shared" si="2"/>
        <v>0</v>
      </c>
      <c r="U103" s="239">
        <f t="shared" si="3"/>
        <v>0</v>
      </c>
      <c r="V103" s="239">
        <f t="shared" si="4"/>
        <v>0</v>
      </c>
      <c r="W103" s="240">
        <f t="shared" si="5"/>
        <v>0</v>
      </c>
      <c r="X103" s="240"/>
    </row>
    <row r="104" spans="1:24" hidden="1" x14ac:dyDescent="0.25">
      <c r="A104" s="148" t="s">
        <v>195</v>
      </c>
      <c r="B104" s="106" t="s">
        <v>249</v>
      </c>
      <c r="C104" s="28"/>
      <c r="D104" s="29"/>
      <c r="E104" s="30"/>
      <c r="F104" s="48">
        <f>D104*E104</f>
        <v>0</v>
      </c>
      <c r="G104" s="49">
        <f>F104*C4</f>
        <v>0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0</v>
      </c>
      <c r="T104" s="231">
        <f t="shared" si="2"/>
        <v>0</v>
      </c>
      <c r="U104" s="225">
        <f t="shared" si="3"/>
        <v>0</v>
      </c>
      <c r="V104" s="225">
        <f t="shared" si="4"/>
        <v>0</v>
      </c>
      <c r="W104" s="231">
        <f t="shared" si="5"/>
        <v>0</v>
      </c>
      <c r="X104" s="231"/>
    </row>
    <row r="105" spans="1:24" hidden="1" x14ac:dyDescent="0.25">
      <c r="A105" s="148" t="s">
        <v>196</v>
      </c>
      <c r="B105" s="106" t="s">
        <v>250</v>
      </c>
      <c r="C105" s="28"/>
      <c r="D105" s="29"/>
      <c r="E105" s="30"/>
      <c r="F105" s="48">
        <f>D105*E105</f>
        <v>0</v>
      </c>
      <c r="G105" s="49">
        <f>F105*C4</f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0</v>
      </c>
      <c r="T105" s="231">
        <f t="shared" si="2"/>
        <v>0</v>
      </c>
      <c r="U105" s="225">
        <f t="shared" si="3"/>
        <v>0</v>
      </c>
      <c r="V105" s="225">
        <f t="shared" si="4"/>
        <v>0</v>
      </c>
      <c r="W105" s="231">
        <f t="shared" si="5"/>
        <v>0</v>
      </c>
      <c r="X105" s="231"/>
    </row>
    <row r="106" spans="1:24" hidden="1" x14ac:dyDescent="0.25">
      <c r="A106" s="148" t="s">
        <v>197</v>
      </c>
      <c r="B106" s="106" t="s">
        <v>251</v>
      </c>
      <c r="C106" s="28"/>
      <c r="D106" s="29"/>
      <c r="E106" s="30"/>
      <c r="F106" s="48">
        <f>D106*E106</f>
        <v>0</v>
      </c>
      <c r="G106" s="49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49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hidden="1" x14ac:dyDescent="0.25">
      <c r="A109" s="220" t="s">
        <v>95</v>
      </c>
      <c r="B109" s="221" t="s">
        <v>55</v>
      </c>
      <c r="C109" s="213"/>
      <c r="D109" s="214"/>
      <c r="E109" s="215"/>
      <c r="F109" s="208">
        <f>SUM(F110:F114)</f>
        <v>0</v>
      </c>
      <c r="G109" s="209">
        <f>SUM(G110:G114)</f>
        <v>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0</v>
      </c>
      <c r="T109" s="240">
        <f t="shared" si="2"/>
        <v>0</v>
      </c>
      <c r="U109" s="239">
        <f t="shared" si="3"/>
        <v>0</v>
      </c>
      <c r="V109" s="239">
        <f t="shared" si="4"/>
        <v>0</v>
      </c>
      <c r="W109" s="240">
        <f t="shared" si="5"/>
        <v>0</v>
      </c>
      <c r="X109" s="240"/>
    </row>
    <row r="110" spans="1:24" hidden="1" x14ac:dyDescent="0.25">
      <c r="A110" s="148" t="s">
        <v>200</v>
      </c>
      <c r="B110" s="106" t="s">
        <v>254</v>
      </c>
      <c r="C110" s="28"/>
      <c r="D110" s="29"/>
      <c r="E110" s="30"/>
      <c r="F110" s="48">
        <f>D110*E110</f>
        <v>0</v>
      </c>
      <c r="G110" s="49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hidden="1" x14ac:dyDescent="0.25">
      <c r="A111" s="148" t="s">
        <v>201</v>
      </c>
      <c r="B111" s="106" t="s">
        <v>258</v>
      </c>
      <c r="C111" s="28"/>
      <c r="D111" s="29"/>
      <c r="E111" s="30"/>
      <c r="F111" s="48">
        <f>D111*E111</f>
        <v>0</v>
      </c>
      <c r="G111" s="49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148" t="s">
        <v>202</v>
      </c>
      <c r="B112" s="106" t="s">
        <v>257</v>
      </c>
      <c r="C112" s="28"/>
      <c r="D112" s="29"/>
      <c r="E112" s="30"/>
      <c r="F112" s="48">
        <f>D112*E112</f>
        <v>0</v>
      </c>
      <c r="G112" s="49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hidden="1" x14ac:dyDescent="0.25">
      <c r="A113" s="148" t="s">
        <v>203</v>
      </c>
      <c r="B113" s="106" t="s">
        <v>256</v>
      </c>
      <c r="C113" s="28"/>
      <c r="D113" s="29"/>
      <c r="E113" s="30"/>
      <c r="F113" s="48">
        <f>D113*E113</f>
        <v>0</v>
      </c>
      <c r="G113" s="49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204</v>
      </c>
      <c r="B114" s="106" t="s">
        <v>255</v>
      </c>
      <c r="C114" s="28"/>
      <c r="D114" s="29"/>
      <c r="E114" s="30"/>
      <c r="F114" s="48">
        <f>D114*E114</f>
        <v>0</v>
      </c>
      <c r="G114" s="49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220" t="s">
        <v>96</v>
      </c>
      <c r="B115" s="221" t="s">
        <v>67</v>
      </c>
      <c r="C115" s="213"/>
      <c r="D115" s="214"/>
      <c r="E115" s="215"/>
      <c r="F115" s="208">
        <f>SUM(F116:F120)</f>
        <v>0</v>
      </c>
      <c r="G115" s="209">
        <f>SUM(G116:G120)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39">
        <f t="shared" si="1"/>
        <v>0</v>
      </c>
      <c r="T115" s="240">
        <f t="shared" si="2"/>
        <v>0</v>
      </c>
      <c r="U115" s="239">
        <f t="shared" si="3"/>
        <v>0</v>
      </c>
      <c r="V115" s="239">
        <f t="shared" si="4"/>
        <v>0</v>
      </c>
      <c r="W115" s="240">
        <f t="shared" si="5"/>
        <v>0</v>
      </c>
      <c r="X115" s="240"/>
    </row>
    <row r="116" spans="1:24" hidden="1" x14ac:dyDescent="0.25">
      <c r="A116" s="148" t="s">
        <v>205</v>
      </c>
      <c r="B116" s="106" t="s">
        <v>259</v>
      </c>
      <c r="C116" s="28"/>
      <c r="D116" s="29"/>
      <c r="E116" s="30"/>
      <c r="F116" s="48">
        <f>D116*E116</f>
        <v>0</v>
      </c>
      <c r="G116" s="49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206</v>
      </c>
      <c r="B117" s="106" t="s">
        <v>260</v>
      </c>
      <c r="C117" s="28"/>
      <c r="D117" s="29"/>
      <c r="E117" s="30"/>
      <c r="F117" s="48">
        <f>D117*E117</f>
        <v>0</v>
      </c>
      <c r="G117" s="49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148" t="s">
        <v>207</v>
      </c>
      <c r="B118" s="106" t="s">
        <v>261</v>
      </c>
      <c r="C118" s="28"/>
      <c r="D118" s="29"/>
      <c r="E118" s="30"/>
      <c r="F118" s="48">
        <f>D118*E118</f>
        <v>0</v>
      </c>
      <c r="G118" s="49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208</v>
      </c>
      <c r="B119" s="106" t="s">
        <v>262</v>
      </c>
      <c r="C119" s="28"/>
      <c r="D119" s="29"/>
      <c r="E119" s="30"/>
      <c r="F119" s="48">
        <f>D119*E119</f>
        <v>0</v>
      </c>
      <c r="G119" s="49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209</v>
      </c>
      <c r="B120" s="106" t="s">
        <v>263</v>
      </c>
      <c r="C120" s="28"/>
      <c r="D120" s="29"/>
      <c r="E120" s="30"/>
      <c r="F120" s="48">
        <f>D120*E120</f>
        <v>0</v>
      </c>
      <c r="G120" s="49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hidden="1" x14ac:dyDescent="0.25">
      <c r="A121" s="220" t="s">
        <v>97</v>
      </c>
      <c r="B121" s="221" t="s">
        <v>68</v>
      </c>
      <c r="C121" s="213"/>
      <c r="D121" s="214"/>
      <c r="E121" s="215"/>
      <c r="F121" s="208">
        <f>SUM(F122:F126)</f>
        <v>0</v>
      </c>
      <c r="G121" s="209">
        <f>SUM(G122:G126)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39">
        <f t="shared" si="1"/>
        <v>0</v>
      </c>
      <c r="T121" s="240">
        <f t="shared" si="2"/>
        <v>0</v>
      </c>
      <c r="U121" s="239">
        <f t="shared" si="3"/>
        <v>0</v>
      </c>
      <c r="V121" s="239">
        <f t="shared" si="4"/>
        <v>0</v>
      </c>
      <c r="W121" s="240">
        <f t="shared" si="5"/>
        <v>0</v>
      </c>
      <c r="X121" s="240"/>
    </row>
    <row r="122" spans="1:24" hidden="1" x14ac:dyDescent="0.25">
      <c r="A122" s="148" t="s">
        <v>210</v>
      </c>
      <c r="B122" s="106" t="s">
        <v>264</v>
      </c>
      <c r="C122" s="28"/>
      <c r="D122" s="29"/>
      <c r="E122" s="30"/>
      <c r="F122" s="48">
        <f>D122*E122</f>
        <v>0</v>
      </c>
      <c r="G122" s="49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0</v>
      </c>
      <c r="T122" s="231">
        <f t="shared" si="2"/>
        <v>0</v>
      </c>
      <c r="U122" s="225">
        <f t="shared" si="3"/>
        <v>0</v>
      </c>
      <c r="V122" s="225">
        <f t="shared" si="4"/>
        <v>0</v>
      </c>
      <c r="W122" s="231">
        <f t="shared" si="5"/>
        <v>0</v>
      </c>
      <c r="X122" s="231"/>
    </row>
    <row r="123" spans="1:24" hidden="1" x14ac:dyDescent="0.25">
      <c r="A123" s="148" t="s">
        <v>211</v>
      </c>
      <c r="B123" s="106" t="s">
        <v>265</v>
      </c>
      <c r="C123" s="28"/>
      <c r="D123" s="29"/>
      <c r="E123" s="30"/>
      <c r="F123" s="48">
        <f>D123*E123</f>
        <v>0</v>
      </c>
      <c r="G123" s="49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0</v>
      </c>
      <c r="T123" s="231">
        <f t="shared" si="2"/>
        <v>0</v>
      </c>
      <c r="U123" s="225">
        <f t="shared" si="3"/>
        <v>0</v>
      </c>
      <c r="V123" s="225">
        <f t="shared" si="4"/>
        <v>0</v>
      </c>
      <c r="W123" s="231">
        <f t="shared" si="5"/>
        <v>0</v>
      </c>
      <c r="X123" s="231"/>
    </row>
    <row r="124" spans="1:24" hidden="1" x14ac:dyDescent="0.25">
      <c r="A124" s="148" t="s">
        <v>212</v>
      </c>
      <c r="B124" s="106" t="s">
        <v>266</v>
      </c>
      <c r="C124" s="28"/>
      <c r="D124" s="29"/>
      <c r="E124" s="30"/>
      <c r="F124" s="48">
        <f>D124*E124</f>
        <v>0</v>
      </c>
      <c r="G124" s="49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213</v>
      </c>
      <c r="B125" s="106" t="s">
        <v>267</v>
      </c>
      <c r="C125" s="28"/>
      <c r="D125" s="29"/>
      <c r="E125" s="30"/>
      <c r="F125" s="48">
        <f>D125*E125</f>
        <v>0</v>
      </c>
      <c r="G125" s="49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214</v>
      </c>
      <c r="B126" s="106" t="s">
        <v>268</v>
      </c>
      <c r="C126" s="28"/>
      <c r="D126" s="29"/>
      <c r="E126" s="30"/>
      <c r="F126" s="48">
        <f>D126*E126</f>
        <v>0</v>
      </c>
      <c r="G126" s="49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x14ac:dyDescent="0.25">
      <c r="A127" s="220" t="s">
        <v>98</v>
      </c>
      <c r="B127" s="221" t="s">
        <v>69</v>
      </c>
      <c r="C127" s="213"/>
      <c r="D127" s="214"/>
      <c r="E127" s="215"/>
      <c r="F127" s="208">
        <f>SUM(F128:F130)</f>
        <v>43704</v>
      </c>
      <c r="G127" s="315">
        <f>SUM(G128:G130)</f>
        <v>61622.64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39">
        <f t="shared" si="1"/>
        <v>-43704</v>
      </c>
      <c r="T127" s="240">
        <f t="shared" si="2"/>
        <v>-1</v>
      </c>
      <c r="U127" s="239">
        <f t="shared" si="3"/>
        <v>0</v>
      </c>
      <c r="V127" s="239">
        <f t="shared" si="4"/>
        <v>-61622.64</v>
      </c>
      <c r="W127" s="240">
        <f t="shared" si="5"/>
        <v>-1</v>
      </c>
      <c r="X127" s="240"/>
    </row>
    <row r="128" spans="1:24" ht="26.4" x14ac:dyDescent="0.25">
      <c r="A128" s="148" t="s">
        <v>215</v>
      </c>
      <c r="B128" s="106" t="s">
        <v>399</v>
      </c>
      <c r="C128" s="28" t="s">
        <v>400</v>
      </c>
      <c r="D128" s="281">
        <v>3</v>
      </c>
      <c r="E128" s="282">
        <f>4725+4725+4383</f>
        <v>13833</v>
      </c>
      <c r="F128" s="48">
        <f>D128*E128</f>
        <v>41499</v>
      </c>
      <c r="G128" s="295">
        <f>F128*C4</f>
        <v>58513.59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-41499</v>
      </c>
      <c r="T128" s="231">
        <f t="shared" si="2"/>
        <v>-1</v>
      </c>
      <c r="U128" s="225">
        <f t="shared" si="3"/>
        <v>0</v>
      </c>
      <c r="V128" s="225">
        <f t="shared" si="4"/>
        <v>-58513.59</v>
      </c>
      <c r="W128" s="231">
        <f t="shared" si="5"/>
        <v>-1</v>
      </c>
      <c r="X128" s="231"/>
    </row>
    <row r="129" spans="1:24" x14ac:dyDescent="0.25">
      <c r="A129" s="148" t="s">
        <v>216</v>
      </c>
      <c r="B129" s="106" t="s">
        <v>401</v>
      </c>
      <c r="C129" s="28" t="s">
        <v>400</v>
      </c>
      <c r="D129" s="281">
        <v>3</v>
      </c>
      <c r="E129" s="282">
        <v>735</v>
      </c>
      <c r="F129" s="48">
        <f>D129*E129</f>
        <v>2205</v>
      </c>
      <c r="G129" s="295">
        <f>F129*C4</f>
        <v>3109.0499999999997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-2205</v>
      </c>
      <c r="T129" s="231">
        <f t="shared" si="2"/>
        <v>-1</v>
      </c>
      <c r="U129" s="225">
        <f t="shared" si="3"/>
        <v>0</v>
      </c>
      <c r="V129" s="225">
        <f t="shared" si="4"/>
        <v>-3109.0499999999997</v>
      </c>
      <c r="W129" s="231">
        <f t="shared" si="5"/>
        <v>-1</v>
      </c>
      <c r="X129" s="231"/>
    </row>
    <row r="130" spans="1:24" hidden="1" x14ac:dyDescent="0.25">
      <c r="A130" s="148" t="s">
        <v>219</v>
      </c>
      <c r="B130" s="106" t="s">
        <v>273</v>
      </c>
      <c r="C130" s="28"/>
      <c r="D130" s="29"/>
      <c r="E130" s="30"/>
      <c r="F130" s="48">
        <f>D130*E130</f>
        <v>0</v>
      </c>
      <c r="G130" s="295">
        <f>F130*C4</f>
        <v>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0</v>
      </c>
      <c r="T130" s="231">
        <f t="shared" si="2"/>
        <v>0</v>
      </c>
      <c r="U130" s="225">
        <f t="shared" si="3"/>
        <v>0</v>
      </c>
      <c r="V130" s="225">
        <f t="shared" si="4"/>
        <v>0</v>
      </c>
      <c r="W130" s="231">
        <f t="shared" si="5"/>
        <v>0</v>
      </c>
      <c r="X130" s="231"/>
    </row>
    <row r="131" spans="1:24" x14ac:dyDescent="0.25">
      <c r="A131" s="220" t="s">
        <v>99</v>
      </c>
      <c r="B131" s="221" t="s">
        <v>54</v>
      </c>
      <c r="C131" s="213"/>
      <c r="D131" s="214"/>
      <c r="E131" s="215"/>
      <c r="F131" s="208">
        <f>SUM(F132:F151)</f>
        <v>166329</v>
      </c>
      <c r="G131" s="315">
        <f>SUM(G132:G151)</f>
        <v>234523.89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39">
        <f t="shared" si="1"/>
        <v>-166329</v>
      </c>
      <c r="T131" s="240">
        <f t="shared" si="2"/>
        <v>-1</v>
      </c>
      <c r="U131" s="239">
        <f t="shared" si="3"/>
        <v>0</v>
      </c>
      <c r="V131" s="239">
        <f t="shared" si="4"/>
        <v>-234523.89</v>
      </c>
      <c r="W131" s="240">
        <f t="shared" si="5"/>
        <v>-1</v>
      </c>
      <c r="X131" s="240"/>
    </row>
    <row r="132" spans="1:24" x14ac:dyDescent="0.25">
      <c r="A132" s="148" t="s">
        <v>220</v>
      </c>
      <c r="B132" s="106" t="s">
        <v>402</v>
      </c>
      <c r="C132" s="28" t="s">
        <v>400</v>
      </c>
      <c r="D132" s="281">
        <v>3</v>
      </c>
      <c r="E132" s="282">
        <v>1440</v>
      </c>
      <c r="F132" s="48">
        <f>D132*E132</f>
        <v>4320</v>
      </c>
      <c r="G132" s="295">
        <f>F132*C4</f>
        <v>6091.2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-4320</v>
      </c>
      <c r="T132" s="231">
        <f t="shared" si="2"/>
        <v>-1</v>
      </c>
      <c r="U132" s="225">
        <f t="shared" si="3"/>
        <v>0</v>
      </c>
      <c r="V132" s="225">
        <f t="shared" si="4"/>
        <v>-6091.2</v>
      </c>
      <c r="W132" s="231">
        <f t="shared" si="5"/>
        <v>-1</v>
      </c>
      <c r="X132" s="231"/>
    </row>
    <row r="133" spans="1:24" x14ac:dyDescent="0.25">
      <c r="A133" s="148" t="s">
        <v>221</v>
      </c>
      <c r="B133" s="106" t="s">
        <v>403</v>
      </c>
      <c r="C133" s="28" t="s">
        <v>404</v>
      </c>
      <c r="D133" s="281">
        <v>45</v>
      </c>
      <c r="E133" s="282">
        <v>100</v>
      </c>
      <c r="F133" s="48">
        <f>D133*E133</f>
        <v>4500</v>
      </c>
      <c r="G133" s="295">
        <f>F133*C4</f>
        <v>6345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1"/>
        <v>-4500</v>
      </c>
      <c r="T133" s="231">
        <f t="shared" si="2"/>
        <v>-1</v>
      </c>
      <c r="U133" s="225">
        <f t="shared" si="3"/>
        <v>0</v>
      </c>
      <c r="V133" s="225">
        <f t="shared" si="4"/>
        <v>-6345</v>
      </c>
      <c r="W133" s="231">
        <f t="shared" si="5"/>
        <v>-1</v>
      </c>
      <c r="X133" s="231"/>
    </row>
    <row r="134" spans="1:24" x14ac:dyDescent="0.25">
      <c r="A134" s="148" t="s">
        <v>222</v>
      </c>
      <c r="B134" s="106" t="s">
        <v>405</v>
      </c>
      <c r="C134" s="28" t="s">
        <v>400</v>
      </c>
      <c r="D134" s="281">
        <v>3</v>
      </c>
      <c r="E134" s="282">
        <v>1440</v>
      </c>
      <c r="F134" s="48">
        <f>D134*E134</f>
        <v>4320</v>
      </c>
      <c r="G134" s="295">
        <f>F134*C4</f>
        <v>6091.2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-4320</v>
      </c>
      <c r="T134" s="231">
        <f t="shared" si="2"/>
        <v>-1</v>
      </c>
      <c r="U134" s="225">
        <f t="shared" si="3"/>
        <v>0</v>
      </c>
      <c r="V134" s="225">
        <f t="shared" si="4"/>
        <v>-6091.2</v>
      </c>
      <c r="W134" s="231">
        <f t="shared" si="5"/>
        <v>-1</v>
      </c>
      <c r="X134" s="231"/>
    </row>
    <row r="135" spans="1:24" x14ac:dyDescent="0.25">
      <c r="A135" s="148" t="s">
        <v>223</v>
      </c>
      <c r="B135" s="106" t="s">
        <v>406</v>
      </c>
      <c r="C135" s="28" t="s">
        <v>404</v>
      </c>
      <c r="D135" s="281">
        <v>45</v>
      </c>
      <c r="E135" s="282">
        <v>100</v>
      </c>
      <c r="F135" s="48">
        <f>D135*E135</f>
        <v>4500</v>
      </c>
      <c r="G135" s="295">
        <f>F135*C4</f>
        <v>6345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-4500</v>
      </c>
      <c r="T135" s="231">
        <f t="shared" si="2"/>
        <v>-1</v>
      </c>
      <c r="U135" s="225">
        <f t="shared" si="3"/>
        <v>0</v>
      </c>
      <c r="V135" s="225">
        <f t="shared" si="4"/>
        <v>-6345</v>
      </c>
      <c r="W135" s="231">
        <f t="shared" si="5"/>
        <v>-1</v>
      </c>
      <c r="X135" s="231"/>
    </row>
    <row r="136" spans="1:24" x14ac:dyDescent="0.25">
      <c r="A136" s="148" t="s">
        <v>224</v>
      </c>
      <c r="B136" s="106" t="s">
        <v>407</v>
      </c>
      <c r="C136" s="28" t="s">
        <v>400</v>
      </c>
      <c r="D136" s="281">
        <v>3</v>
      </c>
      <c r="E136" s="282">
        <v>2100</v>
      </c>
      <c r="F136" s="48">
        <f>D136*E136</f>
        <v>6300</v>
      </c>
      <c r="G136" s="295">
        <f>F136*C4</f>
        <v>8883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-6300</v>
      </c>
      <c r="T136" s="231">
        <f t="shared" si="2"/>
        <v>-1</v>
      </c>
      <c r="U136" s="225">
        <f t="shared" si="3"/>
        <v>0</v>
      </c>
      <c r="V136" s="225">
        <f t="shared" si="4"/>
        <v>-8883</v>
      </c>
      <c r="W136" s="231">
        <f t="shared" si="5"/>
        <v>-1</v>
      </c>
      <c r="X136" s="231"/>
    </row>
    <row r="137" spans="1:24" x14ac:dyDescent="0.25">
      <c r="A137" s="148" t="s">
        <v>408</v>
      </c>
      <c r="B137" s="106" t="s">
        <v>409</v>
      </c>
      <c r="C137" s="28" t="s">
        <v>404</v>
      </c>
      <c r="D137" s="281">
        <v>45</v>
      </c>
      <c r="E137" s="282">
        <v>100</v>
      </c>
      <c r="F137" s="48">
        <f t="shared" ref="F137:F151" si="7">D137*E137</f>
        <v>4500</v>
      </c>
      <c r="G137" s="295">
        <f>F137*C4</f>
        <v>6345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/>
      <c r="T137" s="231"/>
      <c r="U137" s="225"/>
      <c r="V137" s="225"/>
      <c r="W137" s="231"/>
      <c r="X137" s="231"/>
    </row>
    <row r="138" spans="1:24" ht="26.4" x14ac:dyDescent="0.25">
      <c r="A138" s="148" t="s">
        <v>410</v>
      </c>
      <c r="B138" s="106" t="s">
        <v>411</v>
      </c>
      <c r="C138" s="28" t="s">
        <v>400</v>
      </c>
      <c r="D138" s="281">
        <v>3</v>
      </c>
      <c r="E138" s="282">
        <v>1451</v>
      </c>
      <c r="F138" s="48">
        <f t="shared" si="7"/>
        <v>4353</v>
      </c>
      <c r="G138" s="295">
        <f>F138*C4</f>
        <v>6137.73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/>
      <c r="T138" s="231"/>
      <c r="U138" s="225"/>
      <c r="V138" s="225"/>
      <c r="W138" s="231"/>
      <c r="X138" s="231"/>
    </row>
    <row r="139" spans="1:24" x14ac:dyDescent="0.25">
      <c r="A139" s="148" t="s">
        <v>412</v>
      </c>
      <c r="B139" s="106" t="s">
        <v>413</v>
      </c>
      <c r="C139" s="28" t="s">
        <v>414</v>
      </c>
      <c r="D139" s="281">
        <v>45</v>
      </c>
      <c r="E139" s="282">
        <v>100</v>
      </c>
      <c r="F139" s="48">
        <f t="shared" si="7"/>
        <v>4500</v>
      </c>
      <c r="G139" s="295">
        <f>F139*C4</f>
        <v>6345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25"/>
      <c r="T139" s="231"/>
      <c r="U139" s="225"/>
      <c r="V139" s="225"/>
      <c r="W139" s="231"/>
      <c r="X139" s="231"/>
    </row>
    <row r="140" spans="1:24" ht="26.4" x14ac:dyDescent="0.25">
      <c r="A140" s="148" t="s">
        <v>415</v>
      </c>
      <c r="B140" s="106" t="s">
        <v>416</v>
      </c>
      <c r="C140" s="28" t="s">
        <v>400</v>
      </c>
      <c r="D140" s="281">
        <v>3</v>
      </c>
      <c r="E140" s="282">
        <v>1161</v>
      </c>
      <c r="F140" s="48">
        <f t="shared" si="7"/>
        <v>3483</v>
      </c>
      <c r="G140" s="295">
        <f>F140*C4</f>
        <v>4911.03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/>
      <c r="T140" s="231"/>
      <c r="U140" s="225"/>
      <c r="V140" s="225"/>
      <c r="W140" s="231"/>
      <c r="X140" s="231"/>
    </row>
    <row r="141" spans="1:24" x14ac:dyDescent="0.25">
      <c r="A141" s="148" t="s">
        <v>417</v>
      </c>
      <c r="B141" s="106" t="s">
        <v>418</v>
      </c>
      <c r="C141" s="28" t="s">
        <v>400</v>
      </c>
      <c r="D141" s="281">
        <v>3</v>
      </c>
      <c r="E141" s="282">
        <v>1179</v>
      </c>
      <c r="F141" s="48">
        <f t="shared" si="7"/>
        <v>3537</v>
      </c>
      <c r="G141" s="295">
        <f>F141*C4</f>
        <v>4987.17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/>
      <c r="T141" s="231"/>
      <c r="U141" s="225"/>
      <c r="V141" s="225"/>
      <c r="W141" s="231"/>
      <c r="X141" s="231"/>
    </row>
    <row r="142" spans="1:24" x14ac:dyDescent="0.25">
      <c r="A142" s="148" t="s">
        <v>419</v>
      </c>
      <c r="B142" s="106" t="s">
        <v>418</v>
      </c>
      <c r="C142" s="28" t="s">
        <v>404</v>
      </c>
      <c r="D142" s="281">
        <v>45</v>
      </c>
      <c r="E142" s="282">
        <v>100</v>
      </c>
      <c r="F142" s="48">
        <f t="shared" si="7"/>
        <v>4500</v>
      </c>
      <c r="G142" s="295">
        <f>F142*C4</f>
        <v>6345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/>
      <c r="T142" s="231"/>
      <c r="U142" s="225"/>
      <c r="V142" s="225"/>
      <c r="W142" s="231"/>
      <c r="X142" s="231"/>
    </row>
    <row r="143" spans="1:24" x14ac:dyDescent="0.25">
      <c r="A143" s="148" t="s">
        <v>420</v>
      </c>
      <c r="B143" s="106" t="s">
        <v>421</v>
      </c>
      <c r="C143" s="28" t="s">
        <v>400</v>
      </c>
      <c r="D143" s="281">
        <v>3</v>
      </c>
      <c r="E143" s="282">
        <f>867+440</f>
        <v>1307</v>
      </c>
      <c r="F143" s="48">
        <f t="shared" si="7"/>
        <v>3921</v>
      </c>
      <c r="G143" s="295">
        <f>F143*C4</f>
        <v>5528.61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/>
      <c r="T143" s="231"/>
      <c r="U143" s="225"/>
      <c r="V143" s="225"/>
      <c r="W143" s="231"/>
      <c r="X143" s="231"/>
    </row>
    <row r="144" spans="1:24" x14ac:dyDescent="0.25">
      <c r="A144" s="148" t="s">
        <v>422</v>
      </c>
      <c r="B144" s="106" t="s">
        <v>423</v>
      </c>
      <c r="C144" s="28" t="s">
        <v>400</v>
      </c>
      <c r="D144" s="281">
        <v>3</v>
      </c>
      <c r="E144" s="282">
        <f>942+441</f>
        <v>1383</v>
      </c>
      <c r="F144" s="48">
        <f t="shared" si="7"/>
        <v>4149</v>
      </c>
      <c r="G144" s="295">
        <f>F144*C4</f>
        <v>5850.0899999999992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/>
      <c r="T144" s="231"/>
      <c r="U144" s="225"/>
      <c r="V144" s="225"/>
      <c r="W144" s="231"/>
      <c r="X144" s="231"/>
    </row>
    <row r="145" spans="1:24" x14ac:dyDescent="0.25">
      <c r="A145" s="148" t="s">
        <v>424</v>
      </c>
      <c r="B145" s="106" t="s">
        <v>425</v>
      </c>
      <c r="C145" s="28" t="s">
        <v>400</v>
      </c>
      <c r="D145" s="281">
        <v>3</v>
      </c>
      <c r="E145" s="282">
        <f>867+440</f>
        <v>1307</v>
      </c>
      <c r="F145" s="48">
        <f t="shared" si="7"/>
        <v>3921</v>
      </c>
      <c r="G145" s="295">
        <f>F145*C4</f>
        <v>5528.61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/>
      <c r="T145" s="231"/>
      <c r="U145" s="225"/>
      <c r="V145" s="225"/>
      <c r="W145" s="231"/>
      <c r="X145" s="231"/>
    </row>
    <row r="146" spans="1:24" x14ac:dyDescent="0.25">
      <c r="A146" s="148" t="s">
        <v>426</v>
      </c>
      <c r="B146" s="106" t="s">
        <v>823</v>
      </c>
      <c r="C146" s="28" t="s">
        <v>400</v>
      </c>
      <c r="D146" s="281">
        <v>3</v>
      </c>
      <c r="E146" s="282">
        <v>600</v>
      </c>
      <c r="F146" s="48">
        <f t="shared" si="7"/>
        <v>1800</v>
      </c>
      <c r="G146" s="295">
        <f>F146*C4</f>
        <v>2538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/>
      <c r="T146" s="231"/>
      <c r="U146" s="225"/>
      <c r="V146" s="225"/>
      <c r="W146" s="231"/>
      <c r="X146" s="231"/>
    </row>
    <row r="147" spans="1:24" x14ac:dyDescent="0.25">
      <c r="A147" s="148" t="s">
        <v>428</v>
      </c>
      <c r="B147" s="106" t="s">
        <v>824</v>
      </c>
      <c r="C147" s="28" t="s">
        <v>400</v>
      </c>
      <c r="D147" s="281">
        <v>3</v>
      </c>
      <c r="E147" s="282">
        <v>600</v>
      </c>
      <c r="F147" s="48">
        <f t="shared" si="7"/>
        <v>1800</v>
      </c>
      <c r="G147" s="295">
        <f>F147*C4</f>
        <v>2538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/>
      <c r="T147" s="231"/>
      <c r="U147" s="225"/>
      <c r="V147" s="225"/>
      <c r="W147" s="231"/>
      <c r="X147" s="231"/>
    </row>
    <row r="148" spans="1:24" x14ac:dyDescent="0.25">
      <c r="A148" s="148" t="s">
        <v>430</v>
      </c>
      <c r="B148" s="106" t="s">
        <v>825</v>
      </c>
      <c r="C148" s="28" t="s">
        <v>400</v>
      </c>
      <c r="D148" s="281">
        <v>3</v>
      </c>
      <c r="E148" s="281">
        <v>1275</v>
      </c>
      <c r="F148" s="48">
        <f t="shared" si="7"/>
        <v>3825</v>
      </c>
      <c r="G148" s="295">
        <f>F148*C4</f>
        <v>5393.25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/>
      <c r="T148" s="231"/>
      <c r="U148" s="225"/>
      <c r="V148" s="225"/>
      <c r="W148" s="231"/>
      <c r="X148" s="231"/>
    </row>
    <row r="149" spans="1:24" ht="26.4" x14ac:dyDescent="0.25">
      <c r="A149" s="148" t="s">
        <v>432</v>
      </c>
      <c r="B149" s="106" t="s">
        <v>433</v>
      </c>
      <c r="C149" s="28" t="s">
        <v>431</v>
      </c>
      <c r="D149" s="281">
        <v>45</v>
      </c>
      <c r="E149" s="281">
        <v>2000</v>
      </c>
      <c r="F149" s="48">
        <f t="shared" si="7"/>
        <v>90000</v>
      </c>
      <c r="G149" s="295">
        <f>F149*C4</f>
        <v>126900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/>
      <c r="T149" s="231"/>
      <c r="U149" s="225"/>
      <c r="V149" s="225"/>
      <c r="W149" s="231"/>
      <c r="X149" s="231"/>
    </row>
    <row r="150" spans="1:24" x14ac:dyDescent="0.25">
      <c r="A150" s="148" t="s">
        <v>434</v>
      </c>
      <c r="B150" s="106" t="s">
        <v>435</v>
      </c>
      <c r="C150" s="28" t="s">
        <v>436</v>
      </c>
      <c r="D150" s="281">
        <v>2</v>
      </c>
      <c r="E150" s="282">
        <v>300</v>
      </c>
      <c r="F150" s="48">
        <f t="shared" si="7"/>
        <v>600</v>
      </c>
      <c r="G150" s="295">
        <f>F150*C4</f>
        <v>846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/>
      <c r="T150" s="231"/>
      <c r="U150" s="225"/>
      <c r="V150" s="225"/>
      <c r="W150" s="231"/>
      <c r="X150" s="231"/>
    </row>
    <row r="151" spans="1:24" ht="26.4" x14ac:dyDescent="0.25">
      <c r="A151" s="148" t="s">
        <v>437</v>
      </c>
      <c r="B151" s="106" t="s">
        <v>438</v>
      </c>
      <c r="C151" s="28" t="s">
        <v>439</v>
      </c>
      <c r="D151" s="281">
        <v>150</v>
      </c>
      <c r="E151" s="282">
        <v>50</v>
      </c>
      <c r="F151" s="48">
        <f t="shared" si="7"/>
        <v>7500</v>
      </c>
      <c r="G151" s="295">
        <f>F151*C4</f>
        <v>10575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/>
      <c r="T151" s="231"/>
      <c r="U151" s="225"/>
      <c r="V151" s="225"/>
      <c r="W151" s="231"/>
      <c r="X151" s="231"/>
    </row>
    <row r="152" spans="1:24" x14ac:dyDescent="0.25">
      <c r="A152" s="220" t="s">
        <v>100</v>
      </c>
      <c r="B152" s="221" t="s">
        <v>53</v>
      </c>
      <c r="C152" s="213"/>
      <c r="D152" s="214"/>
      <c r="E152" s="215"/>
      <c r="F152" s="208">
        <f>SUM(F153:F157)</f>
        <v>49920</v>
      </c>
      <c r="G152" s="315">
        <f>SUM(G153:G157)</f>
        <v>70387.199999999997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39">
        <f t="shared" si="1"/>
        <v>-49920</v>
      </c>
      <c r="T152" s="240">
        <f t="shared" si="2"/>
        <v>-1</v>
      </c>
      <c r="U152" s="239">
        <f t="shared" si="3"/>
        <v>0</v>
      </c>
      <c r="V152" s="239">
        <f t="shared" si="4"/>
        <v>-70387.199999999997</v>
      </c>
      <c r="W152" s="240">
        <f t="shared" si="5"/>
        <v>-1</v>
      </c>
      <c r="X152" s="240"/>
    </row>
    <row r="153" spans="1:24" ht="26.4" x14ac:dyDescent="0.25">
      <c r="A153" s="148" t="s">
        <v>225</v>
      </c>
      <c r="B153" s="106" t="s">
        <v>440</v>
      </c>
      <c r="C153" s="28" t="s">
        <v>400</v>
      </c>
      <c r="D153" s="281">
        <v>3</v>
      </c>
      <c r="E153" s="282">
        <v>4560</v>
      </c>
      <c r="F153" s="48">
        <f>D153*E153</f>
        <v>13680</v>
      </c>
      <c r="G153" s="295">
        <f>F153*C4</f>
        <v>19288.8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1"/>
        <v>-13680</v>
      </c>
      <c r="T153" s="231">
        <f t="shared" si="2"/>
        <v>-1</v>
      </c>
      <c r="U153" s="225">
        <f t="shared" si="3"/>
        <v>0</v>
      </c>
      <c r="V153" s="225">
        <f t="shared" si="4"/>
        <v>-19288.8</v>
      </c>
      <c r="W153" s="231">
        <f t="shared" si="5"/>
        <v>-1</v>
      </c>
      <c r="X153" s="231"/>
    </row>
    <row r="154" spans="1:24" ht="26.4" x14ac:dyDescent="0.25">
      <c r="A154" s="148" t="s">
        <v>226</v>
      </c>
      <c r="B154" s="106" t="s">
        <v>441</v>
      </c>
      <c r="C154" s="28" t="s">
        <v>400</v>
      </c>
      <c r="D154" s="281">
        <v>3</v>
      </c>
      <c r="E154" s="282">
        <v>7520</v>
      </c>
      <c r="F154" s="48">
        <f>D154*E154</f>
        <v>22560</v>
      </c>
      <c r="G154" s="295">
        <f>F154*C4</f>
        <v>31809.599999999999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1"/>
        <v>-22560</v>
      </c>
      <c r="T154" s="231">
        <f t="shared" si="2"/>
        <v>-1</v>
      </c>
      <c r="U154" s="225">
        <f t="shared" si="3"/>
        <v>0</v>
      </c>
      <c r="V154" s="225">
        <f t="shared" si="4"/>
        <v>-31809.599999999999</v>
      </c>
      <c r="W154" s="231">
        <f t="shared" si="5"/>
        <v>-1</v>
      </c>
      <c r="X154" s="231"/>
    </row>
    <row r="155" spans="1:24" ht="26.4" x14ac:dyDescent="0.25">
      <c r="A155" s="148" t="s">
        <v>227</v>
      </c>
      <c r="B155" s="106" t="s">
        <v>442</v>
      </c>
      <c r="C155" s="28" t="s">
        <v>400</v>
      </c>
      <c r="D155" s="281">
        <v>3</v>
      </c>
      <c r="E155" s="282">
        <v>4560</v>
      </c>
      <c r="F155" s="48">
        <f>D155*E155</f>
        <v>13680</v>
      </c>
      <c r="G155" s="295">
        <f>F155*C4</f>
        <v>19288.8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1"/>
        <v>-13680</v>
      </c>
      <c r="T155" s="231">
        <f t="shared" si="2"/>
        <v>-1</v>
      </c>
      <c r="U155" s="225">
        <f t="shared" si="3"/>
        <v>0</v>
      </c>
      <c r="V155" s="225">
        <f t="shared" si="4"/>
        <v>-19288.8</v>
      </c>
      <c r="W155" s="231">
        <f t="shared" si="5"/>
        <v>-1</v>
      </c>
      <c r="X155" s="231"/>
    </row>
    <row r="156" spans="1:24" hidden="1" x14ac:dyDescent="0.25">
      <c r="A156" s="148" t="s">
        <v>228</v>
      </c>
      <c r="B156" s="106" t="s">
        <v>282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1"/>
        <v>0</v>
      </c>
      <c r="T156" s="231">
        <f t="shared" si="2"/>
        <v>0</v>
      </c>
      <c r="U156" s="225">
        <f t="shared" si="3"/>
        <v>0</v>
      </c>
      <c r="V156" s="225">
        <f t="shared" si="4"/>
        <v>0</v>
      </c>
      <c r="W156" s="231">
        <f t="shared" si="5"/>
        <v>0</v>
      </c>
      <c r="X156" s="231"/>
    </row>
    <row r="157" spans="1:24" hidden="1" x14ac:dyDescent="0.25">
      <c r="A157" s="148" t="s">
        <v>229</v>
      </c>
      <c r="B157" s="106" t="s">
        <v>283</v>
      </c>
      <c r="C157" s="28"/>
      <c r="D157" s="29"/>
      <c r="E157" s="30"/>
      <c r="F157" s="48">
        <f>D157*E157</f>
        <v>0</v>
      </c>
      <c r="G157" s="295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1"/>
        <v>0</v>
      </c>
      <c r="T157" s="231">
        <f t="shared" si="2"/>
        <v>0</v>
      </c>
      <c r="U157" s="225">
        <f t="shared" si="3"/>
        <v>0</v>
      </c>
      <c r="V157" s="225">
        <f t="shared" si="4"/>
        <v>0</v>
      </c>
      <c r="W157" s="231">
        <f t="shared" si="5"/>
        <v>0</v>
      </c>
      <c r="X157" s="231"/>
    </row>
    <row r="158" spans="1:24" hidden="1" x14ac:dyDescent="0.25">
      <c r="A158" s="220" t="s">
        <v>101</v>
      </c>
      <c r="B158" s="221" t="s">
        <v>70</v>
      </c>
      <c r="C158" s="213"/>
      <c r="D158" s="214"/>
      <c r="E158" s="215"/>
      <c r="F158" s="208">
        <f>SUM(F159:F163)</f>
        <v>0</v>
      </c>
      <c r="G158" s="315">
        <f>SUM(G159:G163)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39">
        <f t="shared" si="1"/>
        <v>0</v>
      </c>
      <c r="T158" s="240">
        <f t="shared" si="2"/>
        <v>0</v>
      </c>
      <c r="U158" s="239">
        <f t="shared" si="3"/>
        <v>0</v>
      </c>
      <c r="V158" s="239">
        <f t="shared" si="4"/>
        <v>0</v>
      </c>
      <c r="W158" s="240">
        <f t="shared" si="5"/>
        <v>0</v>
      </c>
      <c r="X158" s="240"/>
    </row>
    <row r="159" spans="1:24" hidden="1" x14ac:dyDescent="0.25">
      <c r="A159" s="148" t="s">
        <v>230</v>
      </c>
      <c r="B159" s="106" t="s">
        <v>284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1"/>
        <v>0</v>
      </c>
      <c r="T159" s="231">
        <f t="shared" si="2"/>
        <v>0</v>
      </c>
      <c r="U159" s="225">
        <f t="shared" si="3"/>
        <v>0</v>
      </c>
      <c r="V159" s="225">
        <f t="shared" si="4"/>
        <v>0</v>
      </c>
      <c r="W159" s="231">
        <f t="shared" si="5"/>
        <v>0</v>
      </c>
      <c r="X159" s="231"/>
    </row>
    <row r="160" spans="1:24" hidden="1" x14ac:dyDescent="0.25">
      <c r="A160" s="148" t="s">
        <v>231</v>
      </c>
      <c r="B160" s="106" t="s">
        <v>285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ref="S160:S225" si="8">R160-F160</f>
        <v>0</v>
      </c>
      <c r="T160" s="231">
        <f t="shared" ref="T160:T225" si="9">IF(F160=0,0,S160/F160)</f>
        <v>0</v>
      </c>
      <c r="U160" s="225">
        <f t="shared" ref="U160:U225" si="10">R160*$C$4</f>
        <v>0</v>
      </c>
      <c r="V160" s="225">
        <f t="shared" ref="V160:V225" si="11">U160-G160</f>
        <v>0</v>
      </c>
      <c r="W160" s="231">
        <f t="shared" ref="W160:W225" si="12">IF(G160=0,0,V160/G160)</f>
        <v>0</v>
      </c>
      <c r="X160" s="231"/>
    </row>
    <row r="161" spans="1:24" hidden="1" x14ac:dyDescent="0.25">
      <c r="A161" s="148" t="s">
        <v>232</v>
      </c>
      <c r="B161" s="106" t="s">
        <v>286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8"/>
        <v>0</v>
      </c>
      <c r="T161" s="231">
        <f t="shared" si="9"/>
        <v>0</v>
      </c>
      <c r="U161" s="225">
        <f t="shared" si="10"/>
        <v>0</v>
      </c>
      <c r="V161" s="225">
        <f t="shared" si="11"/>
        <v>0</v>
      </c>
      <c r="W161" s="231">
        <f t="shared" si="12"/>
        <v>0</v>
      </c>
      <c r="X161" s="231"/>
    </row>
    <row r="162" spans="1:24" hidden="1" x14ac:dyDescent="0.25">
      <c r="A162" s="148" t="s">
        <v>233</v>
      </c>
      <c r="B162" s="106" t="s">
        <v>287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8"/>
        <v>0</v>
      </c>
      <c r="T162" s="231">
        <f t="shared" si="9"/>
        <v>0</v>
      </c>
      <c r="U162" s="225">
        <f t="shared" si="10"/>
        <v>0</v>
      </c>
      <c r="V162" s="225">
        <f t="shared" si="11"/>
        <v>0</v>
      </c>
      <c r="W162" s="231">
        <f t="shared" si="12"/>
        <v>0</v>
      </c>
      <c r="X162" s="231"/>
    </row>
    <row r="163" spans="1:24" hidden="1" x14ac:dyDescent="0.25">
      <c r="A163" s="148" t="s">
        <v>234</v>
      </c>
      <c r="B163" s="106" t="s">
        <v>288</v>
      </c>
      <c r="C163" s="28"/>
      <c r="D163" s="29"/>
      <c r="E163" s="30"/>
      <c r="F163" s="48">
        <f>D163*E163</f>
        <v>0</v>
      </c>
      <c r="G163" s="295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8"/>
        <v>0</v>
      </c>
      <c r="T163" s="231">
        <f t="shared" si="9"/>
        <v>0</v>
      </c>
      <c r="U163" s="225">
        <f t="shared" si="10"/>
        <v>0</v>
      </c>
      <c r="V163" s="225">
        <f t="shared" si="11"/>
        <v>0</v>
      </c>
      <c r="W163" s="231">
        <f t="shared" si="12"/>
        <v>0</v>
      </c>
      <c r="X163" s="231"/>
    </row>
    <row r="164" spans="1:24" hidden="1" x14ac:dyDescent="0.25">
      <c r="A164" s="220" t="s">
        <v>102</v>
      </c>
      <c r="B164" s="221" t="s">
        <v>295</v>
      </c>
      <c r="C164" s="213"/>
      <c r="D164" s="214"/>
      <c r="E164" s="215"/>
      <c r="F164" s="208">
        <f>SUM(F165:F169)</f>
        <v>0</v>
      </c>
      <c r="G164" s="315">
        <f>SUM(G165:G169)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39">
        <f t="shared" si="8"/>
        <v>0</v>
      </c>
      <c r="T164" s="240">
        <f t="shared" si="9"/>
        <v>0</v>
      </c>
      <c r="U164" s="239">
        <f t="shared" si="10"/>
        <v>0</v>
      </c>
      <c r="V164" s="239">
        <f t="shared" si="11"/>
        <v>0</v>
      </c>
      <c r="W164" s="240">
        <f t="shared" si="12"/>
        <v>0</v>
      </c>
      <c r="X164" s="240"/>
    </row>
    <row r="165" spans="1:24" hidden="1" x14ac:dyDescent="0.25">
      <c r="A165" s="153" t="s">
        <v>235</v>
      </c>
      <c r="B165" s="106" t="s">
        <v>298</v>
      </c>
      <c r="C165" s="28"/>
      <c r="D165" s="29"/>
      <c r="E165" s="30"/>
      <c r="F165" s="48">
        <f>D165*E165</f>
        <v>0</v>
      </c>
      <c r="G165" s="295">
        <f>F165*C4</f>
        <v>0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25">
        <f t="shared" si="8"/>
        <v>0</v>
      </c>
      <c r="T165" s="231">
        <f t="shared" si="9"/>
        <v>0</v>
      </c>
      <c r="U165" s="225">
        <f t="shared" si="10"/>
        <v>0</v>
      </c>
      <c r="V165" s="225">
        <f t="shared" si="11"/>
        <v>0</v>
      </c>
      <c r="W165" s="231">
        <f t="shared" si="12"/>
        <v>0</v>
      </c>
      <c r="X165" s="231"/>
    </row>
    <row r="166" spans="1:24" hidden="1" x14ac:dyDescent="0.25">
      <c r="A166" s="153" t="s">
        <v>236</v>
      </c>
      <c r="B166" s="106" t="s">
        <v>299</v>
      </c>
      <c r="C166" s="28"/>
      <c r="D166" s="29"/>
      <c r="E166" s="30"/>
      <c r="F166" s="48">
        <f>D166*E166</f>
        <v>0</v>
      </c>
      <c r="G166" s="295">
        <f>F166*C4</f>
        <v>0</v>
      </c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62"/>
      <c r="S166" s="225">
        <f t="shared" si="8"/>
        <v>0</v>
      </c>
      <c r="T166" s="231">
        <f t="shared" si="9"/>
        <v>0</v>
      </c>
      <c r="U166" s="225">
        <f t="shared" si="10"/>
        <v>0</v>
      </c>
      <c r="V166" s="225">
        <f t="shared" si="11"/>
        <v>0</v>
      </c>
      <c r="W166" s="231">
        <f t="shared" si="12"/>
        <v>0</v>
      </c>
      <c r="X166" s="231"/>
    </row>
    <row r="167" spans="1:24" hidden="1" x14ac:dyDescent="0.25">
      <c r="A167" s="153" t="s">
        <v>237</v>
      </c>
      <c r="B167" s="106" t="s">
        <v>300</v>
      </c>
      <c r="C167" s="28"/>
      <c r="D167" s="29"/>
      <c r="E167" s="30"/>
      <c r="F167" s="48">
        <f>D167*E167</f>
        <v>0</v>
      </c>
      <c r="G167" s="295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8"/>
        <v>0</v>
      </c>
      <c r="T167" s="231">
        <f t="shared" si="9"/>
        <v>0</v>
      </c>
      <c r="U167" s="225">
        <f t="shared" si="10"/>
        <v>0</v>
      </c>
      <c r="V167" s="225">
        <f t="shared" si="11"/>
        <v>0</v>
      </c>
      <c r="W167" s="231">
        <f t="shared" si="12"/>
        <v>0</v>
      </c>
      <c r="X167" s="231"/>
    </row>
    <row r="168" spans="1:24" hidden="1" x14ac:dyDescent="0.25">
      <c r="A168" s="153" t="s">
        <v>238</v>
      </c>
      <c r="B168" s="106" t="s">
        <v>301</v>
      </c>
      <c r="C168" s="28"/>
      <c r="D168" s="29"/>
      <c r="E168" s="30"/>
      <c r="F168" s="48">
        <f>D168*E168</f>
        <v>0</v>
      </c>
      <c r="G168" s="295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8"/>
        <v>0</v>
      </c>
      <c r="T168" s="231">
        <f t="shared" si="9"/>
        <v>0</v>
      </c>
      <c r="U168" s="225">
        <f t="shared" si="10"/>
        <v>0</v>
      </c>
      <c r="V168" s="225">
        <f t="shared" si="11"/>
        <v>0</v>
      </c>
      <c r="W168" s="231">
        <f t="shared" si="12"/>
        <v>0</v>
      </c>
      <c r="X168" s="231"/>
    </row>
    <row r="169" spans="1:24" hidden="1" x14ac:dyDescent="0.25">
      <c r="A169" s="153" t="s">
        <v>239</v>
      </c>
      <c r="B169" s="106" t="s">
        <v>302</v>
      </c>
      <c r="C169" s="28"/>
      <c r="D169" s="29"/>
      <c r="E169" s="30"/>
      <c r="F169" s="48">
        <f>D169*E169</f>
        <v>0</v>
      </c>
      <c r="G169" s="295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8"/>
        <v>0</v>
      </c>
      <c r="T169" s="231">
        <f t="shared" si="9"/>
        <v>0</v>
      </c>
      <c r="U169" s="225">
        <f t="shared" si="10"/>
        <v>0</v>
      </c>
      <c r="V169" s="225">
        <f t="shared" si="11"/>
        <v>0</v>
      </c>
      <c r="W169" s="231">
        <f t="shared" si="12"/>
        <v>0</v>
      </c>
      <c r="X169" s="231"/>
    </row>
    <row r="170" spans="1:24" hidden="1" x14ac:dyDescent="0.25">
      <c r="A170" s="220" t="s">
        <v>103</v>
      </c>
      <c r="B170" s="221" t="s">
        <v>307</v>
      </c>
      <c r="C170" s="213"/>
      <c r="D170" s="214"/>
      <c r="E170" s="215"/>
      <c r="F170" s="208">
        <f>SUM(F171:F175)</f>
        <v>0</v>
      </c>
      <c r="G170" s="315">
        <f>SUM(G171:G175)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39">
        <f t="shared" si="8"/>
        <v>0</v>
      </c>
      <c r="T170" s="240">
        <f t="shared" si="9"/>
        <v>0</v>
      </c>
      <c r="U170" s="239">
        <f t="shared" si="10"/>
        <v>0</v>
      </c>
      <c r="V170" s="239">
        <f t="shared" si="11"/>
        <v>0</v>
      </c>
      <c r="W170" s="240">
        <f t="shared" si="12"/>
        <v>0</v>
      </c>
      <c r="X170" s="240"/>
    </row>
    <row r="171" spans="1:24" hidden="1" x14ac:dyDescent="0.25">
      <c r="A171" s="148" t="s">
        <v>240</v>
      </c>
      <c r="B171" s="106" t="s">
        <v>297</v>
      </c>
      <c r="C171" s="28"/>
      <c r="D171" s="29"/>
      <c r="E171" s="30"/>
      <c r="F171" s="48">
        <f>D171*E171</f>
        <v>0</v>
      </c>
      <c r="G171" s="295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8"/>
        <v>0</v>
      </c>
      <c r="T171" s="231">
        <f t="shared" si="9"/>
        <v>0</v>
      </c>
      <c r="U171" s="225">
        <f t="shared" si="10"/>
        <v>0</v>
      </c>
      <c r="V171" s="225">
        <f t="shared" si="11"/>
        <v>0</v>
      </c>
      <c r="W171" s="231">
        <f t="shared" si="12"/>
        <v>0</v>
      </c>
      <c r="X171" s="231"/>
    </row>
    <row r="172" spans="1:24" hidden="1" x14ac:dyDescent="0.25">
      <c r="A172" s="148" t="s">
        <v>241</v>
      </c>
      <c r="B172" s="106" t="s">
        <v>303</v>
      </c>
      <c r="C172" s="28"/>
      <c r="D172" s="29"/>
      <c r="E172" s="30"/>
      <c r="F172" s="48">
        <f>D172*E172</f>
        <v>0</v>
      </c>
      <c r="G172" s="295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8"/>
        <v>0</v>
      </c>
      <c r="T172" s="231">
        <f t="shared" si="9"/>
        <v>0</v>
      </c>
      <c r="U172" s="225">
        <f t="shared" si="10"/>
        <v>0</v>
      </c>
      <c r="V172" s="225">
        <f t="shared" si="11"/>
        <v>0</v>
      </c>
      <c r="W172" s="231">
        <f t="shared" si="12"/>
        <v>0</v>
      </c>
      <c r="X172" s="231"/>
    </row>
    <row r="173" spans="1:24" hidden="1" x14ac:dyDescent="0.25">
      <c r="A173" s="148" t="s">
        <v>242</v>
      </c>
      <c r="B173" s="106" t="s">
        <v>304</v>
      </c>
      <c r="C173" s="28"/>
      <c r="D173" s="29"/>
      <c r="E173" s="30"/>
      <c r="F173" s="48">
        <f>D173*E173</f>
        <v>0</v>
      </c>
      <c r="G173" s="295">
        <f>F173*C4</f>
        <v>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8"/>
        <v>0</v>
      </c>
      <c r="T173" s="231">
        <f t="shared" si="9"/>
        <v>0</v>
      </c>
      <c r="U173" s="225">
        <f t="shared" si="10"/>
        <v>0</v>
      </c>
      <c r="V173" s="225">
        <f t="shared" si="11"/>
        <v>0</v>
      </c>
      <c r="W173" s="231">
        <f t="shared" si="12"/>
        <v>0</v>
      </c>
      <c r="X173" s="231"/>
    </row>
    <row r="174" spans="1:24" hidden="1" x14ac:dyDescent="0.25">
      <c r="A174" s="148" t="s">
        <v>243</v>
      </c>
      <c r="B174" s="106" t="s">
        <v>305</v>
      </c>
      <c r="C174" s="28"/>
      <c r="D174" s="29"/>
      <c r="E174" s="30"/>
      <c r="F174" s="48">
        <f>D174*E174</f>
        <v>0</v>
      </c>
      <c r="G174" s="295">
        <f>F174*C4</f>
        <v>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8"/>
        <v>0</v>
      </c>
      <c r="T174" s="231">
        <f t="shared" si="9"/>
        <v>0</v>
      </c>
      <c r="U174" s="225">
        <f t="shared" si="10"/>
        <v>0</v>
      </c>
      <c r="V174" s="225">
        <f t="shared" si="11"/>
        <v>0</v>
      </c>
      <c r="W174" s="231">
        <f t="shared" si="12"/>
        <v>0</v>
      </c>
      <c r="X174" s="231"/>
    </row>
    <row r="175" spans="1:24" hidden="1" x14ac:dyDescent="0.25">
      <c r="A175" s="148" t="s">
        <v>244</v>
      </c>
      <c r="B175" s="106" t="s">
        <v>306</v>
      </c>
      <c r="C175" s="28"/>
      <c r="D175" s="29"/>
      <c r="E175" s="30"/>
      <c r="F175" s="48">
        <f>D175*E175</f>
        <v>0</v>
      </c>
      <c r="G175" s="295">
        <f>F175*C4</f>
        <v>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8"/>
        <v>0</v>
      </c>
      <c r="T175" s="231">
        <f t="shared" si="9"/>
        <v>0</v>
      </c>
      <c r="U175" s="225">
        <f t="shared" si="10"/>
        <v>0</v>
      </c>
      <c r="V175" s="225">
        <f t="shared" si="11"/>
        <v>0</v>
      </c>
      <c r="W175" s="231">
        <f t="shared" si="12"/>
        <v>0</v>
      </c>
      <c r="X175" s="231"/>
    </row>
    <row r="176" spans="1:24" x14ac:dyDescent="0.25">
      <c r="B176" s="149"/>
      <c r="C176" s="31"/>
      <c r="D176" s="32"/>
      <c r="E176" s="33"/>
      <c r="F176" s="48"/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57"/>
      <c r="S176" s="225"/>
      <c r="T176" s="231"/>
      <c r="U176" s="225"/>
      <c r="V176" s="225"/>
      <c r="W176" s="231"/>
      <c r="X176" s="231"/>
    </row>
    <row r="177" spans="1:24" ht="13.8" thickBot="1" x14ac:dyDescent="0.3">
      <c r="A177" s="99"/>
      <c r="B177" s="146" t="s">
        <v>124</v>
      </c>
      <c r="C177" s="118"/>
      <c r="D177" s="122"/>
      <c r="E177" s="123"/>
      <c r="F177" s="50">
        <f>SUM(F103+F109+F115+F121+F127+F131+F152+F158+F164+F170)</f>
        <v>259953</v>
      </c>
      <c r="G177" s="50">
        <f>SUM(G103+G109+G115+G121+G127+G131+G152+G158+G164+G170)</f>
        <v>366533.73000000004</v>
      </c>
      <c r="H177" s="244"/>
      <c r="I177" s="244"/>
      <c r="J177" s="244"/>
      <c r="K177" s="244"/>
      <c r="L177" s="244"/>
      <c r="M177" s="244"/>
      <c r="N177" s="244"/>
      <c r="O177" s="244"/>
      <c r="P177" s="244"/>
      <c r="Q177" s="253"/>
      <c r="R177" s="263"/>
      <c r="S177" s="237">
        <f t="shared" si="8"/>
        <v>-259953</v>
      </c>
      <c r="T177" s="238">
        <f t="shared" si="9"/>
        <v>-1</v>
      </c>
      <c r="U177" s="237">
        <f t="shared" si="10"/>
        <v>0</v>
      </c>
      <c r="V177" s="237">
        <f t="shared" si="11"/>
        <v>-366533.73000000004</v>
      </c>
      <c r="W177" s="238">
        <f t="shared" si="12"/>
        <v>-1</v>
      </c>
      <c r="X177" s="238"/>
    </row>
    <row r="178" spans="1:24" ht="13.8" thickTop="1" x14ac:dyDescent="0.25">
      <c r="C178" s="80"/>
      <c r="D178" s="71"/>
      <c r="E178" s="72"/>
      <c r="G178" s="48"/>
      <c r="H178" s="245"/>
      <c r="I178" s="245"/>
      <c r="J178" s="245"/>
      <c r="K178" s="245"/>
      <c r="L178" s="245"/>
      <c r="M178" s="245"/>
      <c r="N178" s="245"/>
      <c r="O178" s="245"/>
      <c r="P178" s="245"/>
      <c r="Q178" s="254"/>
      <c r="R178" s="261"/>
      <c r="S178" s="225"/>
      <c r="T178" s="231"/>
      <c r="U178" s="225"/>
      <c r="V178" s="225"/>
      <c r="W178" s="231"/>
      <c r="X178" s="231"/>
    </row>
    <row r="179" spans="1:24" x14ac:dyDescent="0.25">
      <c r="A179" s="125">
        <v>3</v>
      </c>
      <c r="B179" s="126" t="s">
        <v>127</v>
      </c>
      <c r="C179" s="130"/>
      <c r="D179" s="129"/>
      <c r="E179" s="131"/>
      <c r="F179" s="131"/>
      <c r="G179" s="147"/>
      <c r="H179" s="241"/>
      <c r="I179" s="241"/>
      <c r="J179" s="241"/>
      <c r="K179" s="241"/>
      <c r="L179" s="241"/>
      <c r="M179" s="241"/>
      <c r="N179" s="241"/>
      <c r="O179" s="241"/>
      <c r="P179" s="241"/>
      <c r="Q179" s="252"/>
      <c r="R179" s="260"/>
      <c r="S179" s="230"/>
      <c r="T179" s="232"/>
      <c r="U179" s="230"/>
      <c r="V179" s="230"/>
      <c r="W179" s="232"/>
      <c r="X179" s="232"/>
    </row>
    <row r="180" spans="1:24" hidden="1" x14ac:dyDescent="0.25">
      <c r="A180" s="157" t="s">
        <v>132</v>
      </c>
      <c r="B180" s="140" t="s">
        <v>110</v>
      </c>
      <c r="C180" s="21"/>
      <c r="D180" s="25"/>
      <c r="E180" s="18"/>
      <c r="F180" s="3">
        <f>D180*E180</f>
        <v>0</v>
      </c>
      <c r="G180" s="51">
        <f>F180*C4</f>
        <v>0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8"/>
        <v>0</v>
      </c>
      <c r="T180" s="231">
        <f t="shared" si="9"/>
        <v>0</v>
      </c>
      <c r="U180" s="225">
        <f t="shared" si="10"/>
        <v>0</v>
      </c>
      <c r="V180" s="225">
        <f t="shared" si="11"/>
        <v>0</v>
      </c>
      <c r="W180" s="231">
        <f t="shared" si="12"/>
        <v>0</v>
      </c>
      <c r="X180" s="231"/>
    </row>
    <row r="181" spans="1:24" x14ac:dyDescent="0.25">
      <c r="A181" s="157" t="s">
        <v>133</v>
      </c>
      <c r="B181" s="140" t="s">
        <v>48</v>
      </c>
      <c r="C181" s="21" t="s">
        <v>443</v>
      </c>
      <c r="D181" s="25">
        <v>1</v>
      </c>
      <c r="E181" s="18">
        <v>5000</v>
      </c>
      <c r="F181" s="3">
        <f t="shared" ref="F181:F187" si="13">D181*E181</f>
        <v>5000</v>
      </c>
      <c r="G181" s="316">
        <f>F181*C4</f>
        <v>7050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8"/>
        <v>-5000</v>
      </c>
      <c r="T181" s="231">
        <f t="shared" si="9"/>
        <v>-1</v>
      </c>
      <c r="U181" s="225">
        <f t="shared" si="10"/>
        <v>0</v>
      </c>
      <c r="V181" s="225">
        <f t="shared" si="11"/>
        <v>-7050</v>
      </c>
      <c r="W181" s="231">
        <f t="shared" si="12"/>
        <v>-1</v>
      </c>
      <c r="X181" s="231"/>
    </row>
    <row r="182" spans="1:24" hidden="1" x14ac:dyDescent="0.25">
      <c r="A182" s="157" t="s">
        <v>134</v>
      </c>
      <c r="B182" s="140" t="s">
        <v>106</v>
      </c>
      <c r="C182" s="34"/>
      <c r="D182" s="35"/>
      <c r="E182" s="36"/>
      <c r="F182" s="3">
        <f t="shared" si="13"/>
        <v>0</v>
      </c>
      <c r="G182" s="316">
        <f>F182*C4</f>
        <v>0</v>
      </c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62"/>
      <c r="S182" s="225">
        <f t="shared" si="8"/>
        <v>0</v>
      </c>
      <c r="T182" s="231">
        <f t="shared" si="9"/>
        <v>0</v>
      </c>
      <c r="U182" s="225">
        <f t="shared" si="10"/>
        <v>0</v>
      </c>
      <c r="V182" s="225">
        <f t="shared" si="11"/>
        <v>0</v>
      </c>
      <c r="W182" s="231">
        <f t="shared" si="12"/>
        <v>0</v>
      </c>
      <c r="X182" s="231"/>
    </row>
    <row r="183" spans="1:24" hidden="1" x14ac:dyDescent="0.25">
      <c r="A183" s="157" t="s">
        <v>135</v>
      </c>
      <c r="B183" s="140" t="s">
        <v>140</v>
      </c>
      <c r="C183" s="34"/>
      <c r="D183" s="35"/>
      <c r="E183" s="36"/>
      <c r="F183" s="3">
        <f t="shared" si="13"/>
        <v>0</v>
      </c>
      <c r="G183" s="316">
        <f>F183*C4</f>
        <v>0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8"/>
        <v>0</v>
      </c>
      <c r="T183" s="231">
        <f t="shared" si="9"/>
        <v>0</v>
      </c>
      <c r="U183" s="225">
        <f t="shared" si="10"/>
        <v>0</v>
      </c>
      <c r="V183" s="225">
        <f t="shared" si="11"/>
        <v>0</v>
      </c>
      <c r="W183" s="231">
        <f t="shared" si="12"/>
        <v>0</v>
      </c>
      <c r="X183" s="231"/>
    </row>
    <row r="184" spans="1:24" ht="15" hidden="1" customHeight="1" x14ac:dyDescent="0.25">
      <c r="A184" s="157" t="s">
        <v>136</v>
      </c>
      <c r="B184" s="140" t="s">
        <v>141</v>
      </c>
      <c r="C184" s="34"/>
      <c r="D184" s="35"/>
      <c r="E184" s="36"/>
      <c r="F184" s="3">
        <f t="shared" si="13"/>
        <v>0</v>
      </c>
      <c r="G184" s="316">
        <f>F184*C4</f>
        <v>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8"/>
        <v>0</v>
      </c>
      <c r="T184" s="231">
        <f t="shared" si="9"/>
        <v>0</v>
      </c>
      <c r="U184" s="225">
        <f t="shared" si="10"/>
        <v>0</v>
      </c>
      <c r="V184" s="225">
        <f t="shared" si="11"/>
        <v>0</v>
      </c>
      <c r="W184" s="231">
        <f t="shared" si="12"/>
        <v>0</v>
      </c>
      <c r="X184" s="231"/>
    </row>
    <row r="185" spans="1:24" ht="15" hidden="1" customHeight="1" x14ac:dyDescent="0.25">
      <c r="A185" s="157" t="s">
        <v>137</v>
      </c>
      <c r="B185" s="140" t="s">
        <v>246</v>
      </c>
      <c r="C185" s="34"/>
      <c r="D185" s="35"/>
      <c r="E185" s="36"/>
      <c r="F185" s="3">
        <f>D185*E185</f>
        <v>0</v>
      </c>
      <c r="G185" s="316">
        <f>F185*C4</f>
        <v>0</v>
      </c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62"/>
      <c r="S185" s="225">
        <f t="shared" si="8"/>
        <v>0</v>
      </c>
      <c r="T185" s="231">
        <f t="shared" si="9"/>
        <v>0</v>
      </c>
      <c r="U185" s="225">
        <f t="shared" si="10"/>
        <v>0</v>
      </c>
      <c r="V185" s="225">
        <f t="shared" si="11"/>
        <v>0</v>
      </c>
      <c r="W185" s="231">
        <f t="shared" si="12"/>
        <v>0</v>
      </c>
      <c r="X185" s="231"/>
    </row>
    <row r="186" spans="1:24" x14ac:dyDescent="0.25">
      <c r="A186" s="157" t="s">
        <v>138</v>
      </c>
      <c r="B186" s="140" t="s">
        <v>139</v>
      </c>
      <c r="C186" s="287" t="s">
        <v>392</v>
      </c>
      <c r="D186" s="21">
        <v>1</v>
      </c>
      <c r="E186" s="25">
        <v>8500</v>
      </c>
      <c r="F186" s="3">
        <f t="shared" si="13"/>
        <v>8500</v>
      </c>
      <c r="G186" s="316">
        <f>F186*C4</f>
        <v>11985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8"/>
        <v>-8500</v>
      </c>
      <c r="T186" s="231">
        <f t="shared" si="9"/>
        <v>-1</v>
      </c>
      <c r="U186" s="225">
        <f t="shared" si="10"/>
        <v>0</v>
      </c>
      <c r="V186" s="225">
        <f t="shared" si="11"/>
        <v>-11985</v>
      </c>
      <c r="W186" s="231">
        <f t="shared" si="12"/>
        <v>-1</v>
      </c>
      <c r="X186" s="231"/>
    </row>
    <row r="187" spans="1:24" x14ac:dyDescent="0.25">
      <c r="A187" s="157" t="s">
        <v>247</v>
      </c>
      <c r="B187" s="140" t="s">
        <v>165</v>
      </c>
      <c r="C187" s="287" t="s">
        <v>444</v>
      </c>
      <c r="D187" s="21">
        <v>1</v>
      </c>
      <c r="E187" s="25">
        <v>4500</v>
      </c>
      <c r="F187" s="3">
        <f t="shared" si="13"/>
        <v>4500</v>
      </c>
      <c r="G187" s="316">
        <f>F187*C4</f>
        <v>6345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8"/>
        <v>-4500</v>
      </c>
      <c r="T187" s="231">
        <f t="shared" si="9"/>
        <v>-1</v>
      </c>
      <c r="U187" s="225">
        <f t="shared" si="10"/>
        <v>0</v>
      </c>
      <c r="V187" s="225">
        <f t="shared" si="11"/>
        <v>-6345</v>
      </c>
      <c r="W187" s="231">
        <f t="shared" si="12"/>
        <v>-1</v>
      </c>
      <c r="X187" s="231"/>
    </row>
    <row r="188" spans="1:24" x14ac:dyDescent="0.25">
      <c r="B188" s="109"/>
      <c r="C188" s="9"/>
      <c r="D188" s="6"/>
      <c r="E188" s="7"/>
      <c r="G188" s="48"/>
      <c r="H188" s="245"/>
      <c r="I188" s="245"/>
      <c r="J188" s="245"/>
      <c r="K188" s="245"/>
      <c r="L188" s="245"/>
      <c r="M188" s="245"/>
      <c r="N188" s="245"/>
      <c r="O188" s="245"/>
      <c r="P188" s="245"/>
      <c r="Q188" s="254"/>
      <c r="R188" s="261"/>
      <c r="S188" s="225"/>
      <c r="T188" s="231"/>
      <c r="U188" s="225"/>
      <c r="V188" s="225"/>
      <c r="W188" s="231"/>
      <c r="X188" s="231"/>
    </row>
    <row r="189" spans="1:24" ht="13.8" thickBot="1" x14ac:dyDescent="0.3">
      <c r="A189" s="99"/>
      <c r="B189" s="146" t="s">
        <v>108</v>
      </c>
      <c r="C189" s="118"/>
      <c r="D189" s="122"/>
      <c r="E189" s="123"/>
      <c r="F189" s="50">
        <f>SUM(F180:F187)</f>
        <v>18000</v>
      </c>
      <c r="G189" s="50">
        <f>SUM(G180:G187)</f>
        <v>25380</v>
      </c>
      <c r="H189" s="244"/>
      <c r="I189" s="244"/>
      <c r="J189" s="244"/>
      <c r="K189" s="244"/>
      <c r="L189" s="244"/>
      <c r="M189" s="244"/>
      <c r="N189" s="244"/>
      <c r="O189" s="244"/>
      <c r="P189" s="244"/>
      <c r="Q189" s="253"/>
      <c r="R189" s="263"/>
      <c r="S189" s="237">
        <f t="shared" si="8"/>
        <v>-18000</v>
      </c>
      <c r="T189" s="238">
        <f t="shared" si="9"/>
        <v>-1</v>
      </c>
      <c r="U189" s="237">
        <f t="shared" si="10"/>
        <v>0</v>
      </c>
      <c r="V189" s="237">
        <f t="shared" si="11"/>
        <v>-25380</v>
      </c>
      <c r="W189" s="238">
        <f t="shared" si="12"/>
        <v>-1</v>
      </c>
      <c r="X189" s="238"/>
    </row>
    <row r="190" spans="1:24" ht="13.8" thickTop="1" x14ac:dyDescent="0.25">
      <c r="B190" s="77"/>
      <c r="C190" s="162"/>
      <c r="D190" s="161"/>
      <c r="E190" s="74"/>
      <c r="F190" s="48"/>
      <c r="G190" s="1"/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57"/>
      <c r="S190" s="225"/>
      <c r="T190" s="231"/>
      <c r="U190" s="225"/>
      <c r="V190" s="225"/>
      <c r="W190" s="231"/>
      <c r="X190" s="231"/>
    </row>
    <row r="191" spans="1:24" x14ac:dyDescent="0.25">
      <c r="A191" s="125">
        <v>4</v>
      </c>
      <c r="B191" s="126" t="s">
        <v>107</v>
      </c>
      <c r="C191" s="130"/>
      <c r="D191" s="129"/>
      <c r="E191" s="131"/>
      <c r="F191" s="131"/>
      <c r="G191" s="147"/>
      <c r="H191" s="241"/>
      <c r="I191" s="241"/>
      <c r="J191" s="241"/>
      <c r="K191" s="241"/>
      <c r="L191" s="241"/>
      <c r="M191" s="241"/>
      <c r="N191" s="241"/>
      <c r="O191" s="241"/>
      <c r="P191" s="241"/>
      <c r="Q191" s="252"/>
      <c r="R191" s="260"/>
      <c r="S191" s="230"/>
      <c r="T191" s="232"/>
      <c r="U191" s="230"/>
      <c r="V191" s="230"/>
      <c r="W191" s="232"/>
      <c r="X191" s="232"/>
    </row>
    <row r="192" spans="1:24" hidden="1" x14ac:dyDescent="0.25">
      <c r="A192" s="70" t="s">
        <v>19</v>
      </c>
      <c r="B192" s="77"/>
      <c r="C192" s="162"/>
      <c r="D192" s="161"/>
      <c r="E192" s="74"/>
      <c r="F192" s="48"/>
      <c r="G192" s="1"/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/>
      <c r="T192" s="231"/>
      <c r="U192" s="225"/>
      <c r="V192" s="225"/>
      <c r="W192" s="231"/>
      <c r="X192" s="231"/>
    </row>
    <row r="193" spans="1:24" hidden="1" x14ac:dyDescent="0.25">
      <c r="A193" s="77" t="s">
        <v>142</v>
      </c>
      <c r="B193" s="163" t="s">
        <v>44</v>
      </c>
      <c r="C193" s="21"/>
      <c r="D193" s="25"/>
      <c r="E193" s="18"/>
      <c r="F193" s="48">
        <f>D193*E193</f>
        <v>0</v>
      </c>
      <c r="G193" s="1">
        <f>F193*C4</f>
        <v>0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62"/>
      <c r="S193" s="225">
        <f t="shared" si="8"/>
        <v>0</v>
      </c>
      <c r="T193" s="231">
        <f t="shared" si="9"/>
        <v>0</v>
      </c>
      <c r="U193" s="225">
        <f t="shared" si="10"/>
        <v>0</v>
      </c>
      <c r="V193" s="225">
        <f t="shared" si="11"/>
        <v>0</v>
      </c>
      <c r="W193" s="231">
        <f t="shared" si="12"/>
        <v>0</v>
      </c>
      <c r="X193" s="231"/>
    </row>
    <row r="194" spans="1:24" hidden="1" x14ac:dyDescent="0.25">
      <c r="A194" s="77" t="s">
        <v>143</v>
      </c>
      <c r="B194" s="163" t="s">
        <v>45</v>
      </c>
      <c r="C194" s="21"/>
      <c r="D194" s="25"/>
      <c r="E194" s="18"/>
      <c r="F194" s="48">
        <f>D194*E194</f>
        <v>0</v>
      </c>
      <c r="G194" s="1">
        <f>F194*C4</f>
        <v>0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62"/>
      <c r="S194" s="225">
        <f t="shared" si="8"/>
        <v>0</v>
      </c>
      <c r="T194" s="231">
        <f t="shared" si="9"/>
        <v>0</v>
      </c>
      <c r="U194" s="225">
        <f t="shared" si="10"/>
        <v>0</v>
      </c>
      <c r="V194" s="225">
        <f t="shared" si="11"/>
        <v>0</v>
      </c>
      <c r="W194" s="231">
        <f t="shared" si="12"/>
        <v>0</v>
      </c>
      <c r="X194" s="231"/>
    </row>
    <row r="195" spans="1:24" hidden="1" x14ac:dyDescent="0.25">
      <c r="A195" s="70" t="s">
        <v>7</v>
      </c>
      <c r="B195" s="137"/>
      <c r="C195" s="22"/>
      <c r="D195" s="44"/>
      <c r="E195" s="14"/>
      <c r="F195" s="48"/>
      <c r="G195" s="1"/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57"/>
      <c r="S195" s="225"/>
      <c r="T195" s="231"/>
      <c r="U195" s="225"/>
      <c r="V195" s="225"/>
      <c r="W195" s="231"/>
      <c r="X195" s="231"/>
    </row>
    <row r="196" spans="1:24" hidden="1" x14ac:dyDescent="0.25">
      <c r="A196" s="77" t="s">
        <v>144</v>
      </c>
      <c r="B196" s="163" t="s">
        <v>46</v>
      </c>
      <c r="C196" s="35"/>
      <c r="D196" s="36"/>
      <c r="E196" s="39"/>
      <c r="F196" s="48">
        <f>D196*E196</f>
        <v>0</v>
      </c>
      <c r="G196" s="49">
        <f>F196*C4</f>
        <v>0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62"/>
      <c r="S196" s="225">
        <f t="shared" si="8"/>
        <v>0</v>
      </c>
      <c r="T196" s="231">
        <f t="shared" si="9"/>
        <v>0</v>
      </c>
      <c r="U196" s="225">
        <f t="shared" si="10"/>
        <v>0</v>
      </c>
      <c r="V196" s="225">
        <f t="shared" si="11"/>
        <v>0</v>
      </c>
      <c r="W196" s="231">
        <f t="shared" si="12"/>
        <v>0</v>
      </c>
      <c r="X196" s="231"/>
    </row>
    <row r="197" spans="1:24" hidden="1" x14ac:dyDescent="0.25">
      <c r="A197" s="77" t="s">
        <v>145</v>
      </c>
      <c r="B197" s="137" t="s">
        <v>47</v>
      </c>
      <c r="C197" s="35"/>
      <c r="D197" s="36"/>
      <c r="E197" s="39"/>
      <c r="F197" s="48">
        <f>D197*E197</f>
        <v>0</v>
      </c>
      <c r="G197" s="49">
        <f>F197*C4</f>
        <v>0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62"/>
      <c r="S197" s="225">
        <f t="shared" si="8"/>
        <v>0</v>
      </c>
      <c r="T197" s="231">
        <f t="shared" si="9"/>
        <v>0</v>
      </c>
      <c r="U197" s="225">
        <f t="shared" si="10"/>
        <v>0</v>
      </c>
      <c r="V197" s="225">
        <f t="shared" si="11"/>
        <v>0</v>
      </c>
      <c r="W197" s="231">
        <f t="shared" si="12"/>
        <v>0</v>
      </c>
      <c r="X197" s="231"/>
    </row>
    <row r="198" spans="1:24" hidden="1" x14ac:dyDescent="0.25">
      <c r="A198" s="70" t="s">
        <v>8</v>
      </c>
      <c r="B198" s="137"/>
      <c r="C198" s="52"/>
      <c r="D198" s="23"/>
      <c r="E198" s="24"/>
      <c r="F198" s="48"/>
      <c r="G198" s="1"/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57"/>
      <c r="S198" s="225"/>
      <c r="T198" s="231"/>
      <c r="U198" s="225"/>
      <c r="V198" s="225"/>
      <c r="W198" s="231"/>
      <c r="X198" s="231"/>
    </row>
    <row r="199" spans="1:24" hidden="1" x14ac:dyDescent="0.25">
      <c r="A199" s="77" t="s">
        <v>150</v>
      </c>
      <c r="B199" s="140" t="s">
        <v>181</v>
      </c>
      <c r="C199" s="35"/>
      <c r="D199" s="36"/>
      <c r="E199" s="39"/>
      <c r="F199" s="48">
        <f>D199*E199</f>
        <v>0</v>
      </c>
      <c r="G199" s="1">
        <f>F199*C4</f>
        <v>0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8"/>
        <v>0</v>
      </c>
      <c r="T199" s="231">
        <f t="shared" si="9"/>
        <v>0</v>
      </c>
      <c r="U199" s="225">
        <f t="shared" si="10"/>
        <v>0</v>
      </c>
      <c r="V199" s="225">
        <f t="shared" si="11"/>
        <v>0</v>
      </c>
      <c r="W199" s="231">
        <f t="shared" si="12"/>
        <v>0</v>
      </c>
      <c r="X199" s="231"/>
    </row>
    <row r="200" spans="1:24" hidden="1" x14ac:dyDescent="0.25">
      <c r="A200" s="77" t="s">
        <v>146</v>
      </c>
      <c r="B200" s="149" t="s">
        <v>50</v>
      </c>
      <c r="C200" s="35"/>
      <c r="D200" s="36"/>
      <c r="E200" s="39"/>
      <c r="F200" s="48">
        <f>D200*E200</f>
        <v>0</v>
      </c>
      <c r="G200" s="1">
        <f>F200*C4</f>
        <v>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62"/>
      <c r="S200" s="225">
        <f t="shared" si="8"/>
        <v>0</v>
      </c>
      <c r="T200" s="231">
        <f t="shared" si="9"/>
        <v>0</v>
      </c>
      <c r="U200" s="225">
        <f t="shared" si="10"/>
        <v>0</v>
      </c>
      <c r="V200" s="225">
        <f t="shared" si="11"/>
        <v>0</v>
      </c>
      <c r="W200" s="231">
        <f t="shared" si="12"/>
        <v>0</v>
      </c>
      <c r="X200" s="231"/>
    </row>
    <row r="201" spans="1:24" hidden="1" x14ac:dyDescent="0.25">
      <c r="A201" s="77" t="s">
        <v>147</v>
      </c>
      <c r="B201" s="149" t="s">
        <v>51</v>
      </c>
      <c r="C201" s="35"/>
      <c r="D201" s="36"/>
      <c r="E201" s="37"/>
      <c r="F201" s="48">
        <f>D201*E201</f>
        <v>0</v>
      </c>
      <c r="G201" s="1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8"/>
        <v>0</v>
      </c>
      <c r="T201" s="231">
        <f t="shared" si="9"/>
        <v>0</v>
      </c>
      <c r="U201" s="225">
        <f t="shared" si="10"/>
        <v>0</v>
      </c>
      <c r="V201" s="225">
        <f t="shared" si="11"/>
        <v>0</v>
      </c>
      <c r="W201" s="231">
        <f t="shared" si="12"/>
        <v>0</v>
      </c>
      <c r="X201" s="231"/>
    </row>
    <row r="202" spans="1:24" hidden="1" x14ac:dyDescent="0.25">
      <c r="A202" s="77" t="s">
        <v>148</v>
      </c>
      <c r="B202" s="149" t="s">
        <v>125</v>
      </c>
      <c r="C202" s="35"/>
      <c r="D202" s="36"/>
      <c r="E202" s="38"/>
      <c r="F202" s="48">
        <f>D202*E202</f>
        <v>0</v>
      </c>
      <c r="G202" s="1">
        <f>F202*C4</f>
        <v>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8"/>
        <v>0</v>
      </c>
      <c r="T202" s="231">
        <f t="shared" si="9"/>
        <v>0</v>
      </c>
      <c r="U202" s="225">
        <f t="shared" si="10"/>
        <v>0</v>
      </c>
      <c r="V202" s="225">
        <f t="shared" si="11"/>
        <v>0</v>
      </c>
      <c r="W202" s="231">
        <f t="shared" si="12"/>
        <v>0</v>
      </c>
      <c r="X202" s="231"/>
    </row>
    <row r="203" spans="1:24" hidden="1" x14ac:dyDescent="0.25">
      <c r="A203" s="77" t="s">
        <v>149</v>
      </c>
      <c r="B203" s="149" t="s">
        <v>126</v>
      </c>
      <c r="C203" s="35"/>
      <c r="D203" s="36"/>
      <c r="E203" s="38"/>
      <c r="F203" s="48">
        <f>D203*E203</f>
        <v>0</v>
      </c>
      <c r="G203" s="1">
        <f>F203*C4</f>
        <v>0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62"/>
      <c r="S203" s="225">
        <f t="shared" si="8"/>
        <v>0</v>
      </c>
      <c r="T203" s="231">
        <f t="shared" si="9"/>
        <v>0</v>
      </c>
      <c r="U203" s="225">
        <f t="shared" si="10"/>
        <v>0</v>
      </c>
      <c r="V203" s="225">
        <f t="shared" si="11"/>
        <v>0</v>
      </c>
      <c r="W203" s="231">
        <f t="shared" si="12"/>
        <v>0</v>
      </c>
      <c r="X203" s="231"/>
    </row>
    <row r="204" spans="1:24" x14ac:dyDescent="0.25">
      <c r="C204" s="5"/>
      <c r="D204" s="5"/>
      <c r="E204" s="5"/>
      <c r="F204" s="168"/>
      <c r="H204" s="242"/>
      <c r="I204" s="242"/>
      <c r="J204" s="242"/>
      <c r="K204" s="242"/>
      <c r="L204" s="242"/>
      <c r="M204" s="242"/>
      <c r="N204" s="242"/>
      <c r="O204" s="242"/>
      <c r="P204" s="242"/>
      <c r="Q204" s="251"/>
      <c r="R204" s="257"/>
      <c r="S204" s="225"/>
      <c r="T204" s="231"/>
      <c r="U204" s="225"/>
      <c r="V204" s="225"/>
      <c r="W204" s="231"/>
      <c r="X204" s="231"/>
    </row>
    <row r="205" spans="1:24" hidden="1" x14ac:dyDescent="0.25">
      <c r="A205" s="200"/>
      <c r="B205" s="201" t="s">
        <v>188</v>
      </c>
      <c r="C205" s="201"/>
      <c r="D205" s="201"/>
      <c r="E205" s="201"/>
      <c r="F205" s="202">
        <f>SUM(F193:F195)</f>
        <v>0</v>
      </c>
      <c r="G205" s="201">
        <f>SUM(G193:G195)</f>
        <v>0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57"/>
      <c r="S205" s="225">
        <f t="shared" si="8"/>
        <v>0</v>
      </c>
      <c r="T205" s="231">
        <f t="shared" si="9"/>
        <v>0</v>
      </c>
      <c r="U205" s="225">
        <f t="shared" si="10"/>
        <v>0</v>
      </c>
      <c r="V205" s="225">
        <f t="shared" si="11"/>
        <v>0</v>
      </c>
      <c r="W205" s="231">
        <f t="shared" si="12"/>
        <v>0</v>
      </c>
      <c r="X205" s="231"/>
    </row>
    <row r="206" spans="1:24" hidden="1" x14ac:dyDescent="0.25">
      <c r="A206" s="200"/>
      <c r="B206" s="201" t="s">
        <v>7</v>
      </c>
      <c r="C206" s="201"/>
      <c r="D206" s="201"/>
      <c r="E206" s="201"/>
      <c r="F206" s="202">
        <f>SUM(F196:F198)</f>
        <v>0</v>
      </c>
      <c r="G206" s="201">
        <f>SUM(G196:G198)</f>
        <v>0</v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57"/>
      <c r="S206" s="225">
        <f t="shared" si="8"/>
        <v>0</v>
      </c>
      <c r="T206" s="231">
        <f t="shared" si="9"/>
        <v>0</v>
      </c>
      <c r="U206" s="225">
        <f t="shared" si="10"/>
        <v>0</v>
      </c>
      <c r="V206" s="225">
        <f t="shared" si="11"/>
        <v>0</v>
      </c>
      <c r="W206" s="231">
        <f t="shared" si="12"/>
        <v>0</v>
      </c>
      <c r="X206" s="231"/>
    </row>
    <row r="207" spans="1:24" hidden="1" x14ac:dyDescent="0.25">
      <c r="A207" s="200"/>
      <c r="B207" s="201" t="s">
        <v>8</v>
      </c>
      <c r="C207" s="201"/>
      <c r="D207" s="201"/>
      <c r="E207" s="201"/>
      <c r="F207" s="202">
        <f>SUM(F199:F204)</f>
        <v>0</v>
      </c>
      <c r="G207" s="201">
        <f>SUM(G199:G204)</f>
        <v>0</v>
      </c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57"/>
      <c r="S207" s="225">
        <f t="shared" si="8"/>
        <v>0</v>
      </c>
      <c r="T207" s="231">
        <f t="shared" si="9"/>
        <v>0</v>
      </c>
      <c r="U207" s="225">
        <f t="shared" si="10"/>
        <v>0</v>
      </c>
      <c r="V207" s="225">
        <f t="shared" si="11"/>
        <v>0</v>
      </c>
      <c r="W207" s="231">
        <f t="shared" si="12"/>
        <v>0</v>
      </c>
      <c r="X207" s="231"/>
    </row>
    <row r="208" spans="1:24" ht="13.8" thickBot="1" x14ac:dyDescent="0.3">
      <c r="A208" s="99"/>
      <c r="B208" s="146" t="s">
        <v>109</v>
      </c>
      <c r="C208" s="118"/>
      <c r="D208" s="122"/>
      <c r="E208" s="123"/>
      <c r="F208" s="50">
        <f>SUM(F193+F194+F196+F197+F199+F200+F201+F202+F203)</f>
        <v>0</v>
      </c>
      <c r="G208" s="50">
        <f>SUM(G193+G194+G196+G197+G199+G201+G200+G202+G203)</f>
        <v>0</v>
      </c>
      <c r="H208" s="244"/>
      <c r="I208" s="244"/>
      <c r="J208" s="244"/>
      <c r="K208" s="244"/>
      <c r="L208" s="244"/>
      <c r="M208" s="244"/>
      <c r="N208" s="244"/>
      <c r="O208" s="244"/>
      <c r="P208" s="244"/>
      <c r="Q208" s="253"/>
      <c r="R208" s="263"/>
      <c r="S208" s="237">
        <f t="shared" si="8"/>
        <v>0</v>
      </c>
      <c r="T208" s="238">
        <f t="shared" si="9"/>
        <v>0</v>
      </c>
      <c r="U208" s="237">
        <f t="shared" si="10"/>
        <v>0</v>
      </c>
      <c r="V208" s="237">
        <f t="shared" si="11"/>
        <v>0</v>
      </c>
      <c r="W208" s="238">
        <f t="shared" si="12"/>
        <v>0</v>
      </c>
      <c r="X208" s="238"/>
    </row>
    <row r="209" spans="1:24" ht="13.8" thickTop="1" x14ac:dyDescent="0.25">
      <c r="A209" s="99"/>
      <c r="B209" s="146"/>
      <c r="C209" s="118"/>
      <c r="D209" s="122"/>
      <c r="E209" s="123"/>
      <c r="F209" s="169"/>
      <c r="G209" s="169"/>
      <c r="H209" s="244"/>
      <c r="I209" s="244"/>
      <c r="J209" s="244"/>
      <c r="K209" s="244"/>
      <c r="L209" s="244"/>
      <c r="M209" s="244"/>
      <c r="N209" s="244"/>
      <c r="O209" s="244"/>
      <c r="P209" s="244"/>
      <c r="Q209" s="253"/>
      <c r="R209" s="259"/>
      <c r="S209" s="225"/>
      <c r="T209" s="231"/>
      <c r="U209" s="225"/>
      <c r="V209" s="225"/>
      <c r="W209" s="231"/>
      <c r="X209" s="231"/>
    </row>
    <row r="210" spans="1:24" x14ac:dyDescent="0.25">
      <c r="A210" s="125">
        <v>5</v>
      </c>
      <c r="B210" s="126" t="s">
        <v>111</v>
      </c>
      <c r="C210" s="130"/>
      <c r="D210" s="129"/>
      <c r="E210" s="131"/>
      <c r="F210" s="131"/>
      <c r="G210" s="147"/>
      <c r="H210" s="241"/>
      <c r="I210" s="241"/>
      <c r="J210" s="241"/>
      <c r="K210" s="241"/>
      <c r="L210" s="241"/>
      <c r="M210" s="241"/>
      <c r="N210" s="241"/>
      <c r="O210" s="241"/>
      <c r="P210" s="241"/>
      <c r="Q210" s="252"/>
      <c r="R210" s="260"/>
      <c r="S210" s="230"/>
      <c r="T210" s="232"/>
      <c r="U210" s="230"/>
      <c r="V210" s="230"/>
      <c r="W210" s="232"/>
      <c r="X210" s="232"/>
    </row>
    <row r="211" spans="1:24" x14ac:dyDescent="0.25">
      <c r="A211" s="77" t="s">
        <v>151</v>
      </c>
      <c r="B211" s="163" t="s">
        <v>11</v>
      </c>
      <c r="C211" s="21" t="s">
        <v>450</v>
      </c>
      <c r="D211" s="25">
        <v>3</v>
      </c>
      <c r="E211" s="25">
        <v>1000</v>
      </c>
      <c r="F211" s="48">
        <f t="shared" ref="F211:F217" si="14">D211*E211</f>
        <v>3000</v>
      </c>
      <c r="G211" s="295">
        <f>F211*C4</f>
        <v>4230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si="8"/>
        <v>-3000</v>
      </c>
      <c r="T211" s="231">
        <f t="shared" si="9"/>
        <v>-1</v>
      </c>
      <c r="U211" s="225">
        <f t="shared" si="10"/>
        <v>0</v>
      </c>
      <c r="V211" s="225">
        <f t="shared" si="11"/>
        <v>-4230</v>
      </c>
      <c r="W211" s="231">
        <f t="shared" si="12"/>
        <v>-1</v>
      </c>
      <c r="X211" s="231"/>
    </row>
    <row r="212" spans="1:24" x14ac:dyDescent="0.25">
      <c r="A212" s="77" t="s">
        <v>152</v>
      </c>
      <c r="B212" s="163" t="s">
        <v>12</v>
      </c>
      <c r="C212" s="21" t="s">
        <v>451</v>
      </c>
      <c r="D212" s="25">
        <v>1</v>
      </c>
      <c r="E212" s="18">
        <v>400</v>
      </c>
      <c r="F212" s="48">
        <f t="shared" si="14"/>
        <v>400</v>
      </c>
      <c r="G212" s="295">
        <f>F212*C4</f>
        <v>564</v>
      </c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62"/>
      <c r="S212" s="225">
        <f t="shared" si="8"/>
        <v>-400</v>
      </c>
      <c r="T212" s="231">
        <f t="shared" si="9"/>
        <v>-1</v>
      </c>
      <c r="U212" s="225">
        <f t="shared" si="10"/>
        <v>0</v>
      </c>
      <c r="V212" s="225">
        <f t="shared" si="11"/>
        <v>-564</v>
      </c>
      <c r="W212" s="231">
        <f t="shared" si="12"/>
        <v>-1</v>
      </c>
      <c r="X212" s="231"/>
    </row>
    <row r="213" spans="1:24" x14ac:dyDescent="0.25">
      <c r="A213" s="77" t="s">
        <v>153</v>
      </c>
      <c r="B213" s="163" t="s">
        <v>13</v>
      </c>
      <c r="C213" s="21" t="s">
        <v>436</v>
      </c>
      <c r="D213" s="18">
        <v>1</v>
      </c>
      <c r="E213" s="18">
        <v>500</v>
      </c>
      <c r="F213" s="48">
        <f t="shared" si="14"/>
        <v>500</v>
      </c>
      <c r="G213" s="295">
        <f>F213*C4</f>
        <v>705</v>
      </c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62"/>
      <c r="S213" s="225">
        <f t="shared" si="8"/>
        <v>-500</v>
      </c>
      <c r="T213" s="231">
        <f t="shared" si="9"/>
        <v>-1</v>
      </c>
      <c r="U213" s="225">
        <f t="shared" si="10"/>
        <v>0</v>
      </c>
      <c r="V213" s="225">
        <f t="shared" si="11"/>
        <v>-705</v>
      </c>
      <c r="W213" s="231">
        <f t="shared" si="12"/>
        <v>-1</v>
      </c>
      <c r="X213" s="231"/>
    </row>
    <row r="214" spans="1:24" ht="26.4" x14ac:dyDescent="0.25">
      <c r="A214" s="77" t="s">
        <v>154</v>
      </c>
      <c r="B214" s="163" t="s">
        <v>447</v>
      </c>
      <c r="C214" s="21" t="s">
        <v>393</v>
      </c>
      <c r="D214" s="18">
        <v>12</v>
      </c>
      <c r="E214" s="18">
        <v>650</v>
      </c>
      <c r="F214" s="48">
        <f t="shared" si="14"/>
        <v>7800</v>
      </c>
      <c r="G214" s="295">
        <f>F214*C4</f>
        <v>10998</v>
      </c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62"/>
      <c r="S214" s="225">
        <f t="shared" si="8"/>
        <v>-7800</v>
      </c>
      <c r="T214" s="231">
        <f t="shared" si="9"/>
        <v>-1</v>
      </c>
      <c r="U214" s="225">
        <f t="shared" si="10"/>
        <v>0</v>
      </c>
      <c r="V214" s="225">
        <f t="shared" si="11"/>
        <v>-10998</v>
      </c>
      <c r="W214" s="231">
        <f t="shared" si="12"/>
        <v>-1</v>
      </c>
      <c r="X214" s="231"/>
    </row>
    <row r="215" spans="1:24" ht="26.4" x14ac:dyDescent="0.25">
      <c r="A215" s="77" t="s">
        <v>155</v>
      </c>
      <c r="B215" s="163" t="s">
        <v>448</v>
      </c>
      <c r="C215" s="21" t="s">
        <v>393</v>
      </c>
      <c r="D215" s="18">
        <v>12</v>
      </c>
      <c r="E215" s="18">
        <v>650</v>
      </c>
      <c r="F215" s="48">
        <f t="shared" si="14"/>
        <v>7800</v>
      </c>
      <c r="G215" s="295">
        <f>F215*C4</f>
        <v>10998</v>
      </c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62"/>
      <c r="S215" s="225">
        <f t="shared" si="8"/>
        <v>-7800</v>
      </c>
      <c r="T215" s="231">
        <f t="shared" si="9"/>
        <v>-1</v>
      </c>
      <c r="U215" s="225">
        <f t="shared" si="10"/>
        <v>0</v>
      </c>
      <c r="V215" s="225">
        <f t="shared" si="11"/>
        <v>-10998</v>
      </c>
      <c r="W215" s="231">
        <f t="shared" si="12"/>
        <v>-1</v>
      </c>
      <c r="X215" s="231"/>
    </row>
    <row r="216" spans="1:24" x14ac:dyDescent="0.25">
      <c r="A216" s="77" t="s">
        <v>445</v>
      </c>
      <c r="B216" s="163" t="s">
        <v>449</v>
      </c>
      <c r="C216" s="21" t="s">
        <v>393</v>
      </c>
      <c r="D216" s="25">
        <v>12</v>
      </c>
      <c r="E216" s="18">
        <v>800</v>
      </c>
      <c r="F216" s="48">
        <f t="shared" si="14"/>
        <v>9600</v>
      </c>
      <c r="G216" s="295">
        <f>F216*C4</f>
        <v>13536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/>
      <c r="T216" s="231"/>
      <c r="U216" s="225"/>
      <c r="V216" s="225"/>
      <c r="W216" s="231"/>
      <c r="X216" s="231"/>
    </row>
    <row r="217" spans="1:24" ht="39.6" x14ac:dyDescent="0.25">
      <c r="A217" s="77" t="s">
        <v>446</v>
      </c>
      <c r="B217" s="163" t="s">
        <v>56</v>
      </c>
      <c r="C217" s="21" t="s">
        <v>436</v>
      </c>
      <c r="D217" s="18">
        <v>1</v>
      </c>
      <c r="E217" s="18">
        <v>1200</v>
      </c>
      <c r="F217" s="48">
        <f t="shared" si="14"/>
        <v>1200</v>
      </c>
      <c r="G217" s="295">
        <f>F217*C4</f>
        <v>1692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/>
      <c r="T217" s="231"/>
      <c r="U217" s="225"/>
      <c r="V217" s="225"/>
      <c r="W217" s="231"/>
      <c r="X217" s="231"/>
    </row>
    <row r="218" spans="1:24" x14ac:dyDescent="0.25">
      <c r="B218" s="163"/>
      <c r="C218" s="6"/>
      <c r="D218" s="7"/>
      <c r="E218" s="8"/>
      <c r="F218" s="48"/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57"/>
      <c r="S218" s="225"/>
      <c r="T218" s="231"/>
      <c r="U218" s="225"/>
      <c r="V218" s="225"/>
      <c r="W218" s="231"/>
      <c r="X218" s="231"/>
    </row>
    <row r="219" spans="1:24" ht="13.8" thickBot="1" x14ac:dyDescent="0.3">
      <c r="A219" s="99"/>
      <c r="B219" s="146" t="s">
        <v>112</v>
      </c>
      <c r="C219" s="118"/>
      <c r="D219" s="122"/>
      <c r="E219" s="123"/>
      <c r="F219" s="50">
        <f>SUM(F211:F217)</f>
        <v>30300</v>
      </c>
      <c r="G219" s="50">
        <f>SUM(G211:G217)</f>
        <v>42723</v>
      </c>
      <c r="H219" s="244"/>
      <c r="I219" s="244"/>
      <c r="J219" s="244"/>
      <c r="K219" s="244"/>
      <c r="L219" s="244"/>
      <c r="M219" s="244"/>
      <c r="N219" s="244"/>
      <c r="O219" s="244"/>
      <c r="P219" s="244"/>
      <c r="Q219" s="253"/>
      <c r="R219" s="263"/>
      <c r="S219" s="237">
        <f t="shared" si="8"/>
        <v>-30300</v>
      </c>
      <c r="T219" s="238">
        <f t="shared" si="9"/>
        <v>-1</v>
      </c>
      <c r="U219" s="237">
        <f t="shared" si="10"/>
        <v>0</v>
      </c>
      <c r="V219" s="237">
        <f t="shared" si="11"/>
        <v>-42723</v>
      </c>
      <c r="W219" s="238">
        <f t="shared" si="12"/>
        <v>-1</v>
      </c>
      <c r="X219" s="238"/>
    </row>
    <row r="220" spans="1:24" ht="13.8" thickTop="1" x14ac:dyDescent="0.25">
      <c r="B220" s="163"/>
      <c r="F220" s="48"/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57"/>
      <c r="S220" s="225"/>
      <c r="T220" s="231"/>
      <c r="U220" s="225"/>
      <c r="V220" s="225"/>
      <c r="W220" s="231"/>
      <c r="X220" s="231"/>
    </row>
    <row r="221" spans="1:24" x14ac:dyDescent="0.25">
      <c r="A221" s="125">
        <v>6</v>
      </c>
      <c r="B221" s="126" t="s">
        <v>113</v>
      </c>
      <c r="C221" s="130"/>
      <c r="D221" s="129"/>
      <c r="E221" s="131"/>
      <c r="F221" s="131"/>
      <c r="G221" s="147"/>
      <c r="H221" s="241"/>
      <c r="I221" s="241"/>
      <c r="J221" s="241"/>
      <c r="K221" s="241"/>
      <c r="L221" s="241"/>
      <c r="M221" s="241"/>
      <c r="N221" s="241"/>
      <c r="O221" s="241"/>
      <c r="P221" s="241"/>
      <c r="Q221" s="252"/>
      <c r="R221" s="260"/>
      <c r="S221" s="230"/>
      <c r="T221" s="232"/>
      <c r="U221" s="230"/>
      <c r="V221" s="230"/>
      <c r="W221" s="232"/>
      <c r="X221" s="232"/>
    </row>
    <row r="222" spans="1:24" x14ac:dyDescent="0.25">
      <c r="A222" s="99" t="s">
        <v>114</v>
      </c>
      <c r="B222" s="99" t="s">
        <v>71</v>
      </c>
      <c r="C222" s="2"/>
      <c r="D222" s="142"/>
      <c r="E222" s="143"/>
      <c r="F222" s="3"/>
      <c r="G222" s="53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6"/>
      <c r="S222" s="225"/>
      <c r="T222" s="231"/>
      <c r="U222" s="225"/>
      <c r="V222" s="225"/>
      <c r="W222" s="231"/>
      <c r="X222" s="231"/>
    </row>
    <row r="223" spans="1:24" hidden="1" x14ac:dyDescent="0.25">
      <c r="A223" s="109" t="s">
        <v>115</v>
      </c>
      <c r="B223" s="170" t="s">
        <v>72</v>
      </c>
      <c r="C223" s="35"/>
      <c r="D223" s="36"/>
      <c r="E223" s="39"/>
      <c r="F223" s="3">
        <f>D223*E223</f>
        <v>0</v>
      </c>
      <c r="G223" s="53">
        <f>F223*C4</f>
        <v>0</v>
      </c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62"/>
      <c r="S223" s="225">
        <f t="shared" si="8"/>
        <v>0</v>
      </c>
      <c r="T223" s="231">
        <f t="shared" si="9"/>
        <v>0</v>
      </c>
      <c r="U223" s="225">
        <f t="shared" si="10"/>
        <v>0</v>
      </c>
      <c r="V223" s="225">
        <f t="shared" si="11"/>
        <v>0</v>
      </c>
      <c r="W223" s="231">
        <f t="shared" si="12"/>
        <v>0</v>
      </c>
      <c r="X223" s="231"/>
    </row>
    <row r="224" spans="1:24" x14ac:dyDescent="0.25">
      <c r="A224" s="109" t="s">
        <v>116</v>
      </c>
      <c r="B224" s="170" t="s">
        <v>452</v>
      </c>
      <c r="C224" s="21" t="s">
        <v>439</v>
      </c>
      <c r="D224" s="25">
        <v>12</v>
      </c>
      <c r="E224" s="18">
        <v>200</v>
      </c>
      <c r="F224" s="3">
        <f>D224*E224</f>
        <v>2400</v>
      </c>
      <c r="G224" s="53">
        <f>F224*C4</f>
        <v>3384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 t="shared" si="8"/>
        <v>-2400</v>
      </c>
      <c r="T224" s="231">
        <f t="shared" si="9"/>
        <v>-1</v>
      </c>
      <c r="U224" s="225">
        <f t="shared" si="10"/>
        <v>0</v>
      </c>
      <c r="V224" s="225">
        <f t="shared" si="11"/>
        <v>-3384</v>
      </c>
      <c r="W224" s="231">
        <f t="shared" si="12"/>
        <v>-1</v>
      </c>
      <c r="X224" s="231"/>
    </row>
    <row r="225" spans="1:24" hidden="1" x14ac:dyDescent="0.25">
      <c r="A225" s="109" t="s">
        <v>117</v>
      </c>
      <c r="B225" s="170" t="s">
        <v>74</v>
      </c>
      <c r="C225" s="35"/>
      <c r="D225" s="36"/>
      <c r="E225" s="39"/>
      <c r="F225" s="3">
        <f>D225*E225</f>
        <v>0</v>
      </c>
      <c r="G225" s="53">
        <f>F225*C4</f>
        <v>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 t="shared" si="8"/>
        <v>0</v>
      </c>
      <c r="T225" s="231">
        <f t="shared" si="9"/>
        <v>0</v>
      </c>
      <c r="U225" s="225">
        <f t="shared" si="10"/>
        <v>0</v>
      </c>
      <c r="V225" s="225">
        <f t="shared" si="11"/>
        <v>0</v>
      </c>
      <c r="W225" s="231">
        <f t="shared" si="12"/>
        <v>0</v>
      </c>
      <c r="X225" s="231"/>
    </row>
    <row r="226" spans="1:24" hidden="1" x14ac:dyDescent="0.25">
      <c r="A226" s="109" t="s">
        <v>118</v>
      </c>
      <c r="B226" s="170" t="s">
        <v>75</v>
      </c>
      <c r="C226" s="35"/>
      <c r="D226" s="36"/>
      <c r="E226" s="39"/>
      <c r="F226" s="3">
        <f>D226*E226</f>
        <v>0</v>
      </c>
      <c r="G226" s="53">
        <f>F226*C4</f>
        <v>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>R226-F226</f>
        <v>0</v>
      </c>
      <c r="T226" s="231">
        <f>IF(F226=0,0,S226/F226)</f>
        <v>0</v>
      </c>
      <c r="U226" s="225">
        <f>R226*$C$4</f>
        <v>0</v>
      </c>
      <c r="V226" s="225">
        <f>U226-G226</f>
        <v>0</v>
      </c>
      <c r="W226" s="231">
        <f>IF(G226=0,0,V226/G226)</f>
        <v>0</v>
      </c>
      <c r="X226" s="231"/>
    </row>
    <row r="227" spans="1:24" x14ac:dyDescent="0.25">
      <c r="A227" s="99"/>
      <c r="B227" s="170"/>
      <c r="C227" s="40"/>
      <c r="D227" s="41"/>
      <c r="E227" s="42"/>
      <c r="F227" s="3"/>
      <c r="G227" s="53"/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56"/>
      <c r="S227" s="225"/>
      <c r="T227" s="231"/>
      <c r="U227" s="225"/>
      <c r="V227" s="225"/>
      <c r="W227" s="231"/>
      <c r="X227" s="231"/>
    </row>
    <row r="228" spans="1:24" ht="13.8" thickBot="1" x14ac:dyDescent="0.3">
      <c r="A228" s="99"/>
      <c r="B228" s="146" t="s">
        <v>76</v>
      </c>
      <c r="C228" s="172"/>
      <c r="D228" s="171"/>
      <c r="E228" s="173"/>
      <c r="F228" s="50">
        <f>SUM(F223:F226)</f>
        <v>2400</v>
      </c>
      <c r="G228" s="50">
        <f>SUM(G223:G226)</f>
        <v>3384</v>
      </c>
      <c r="H228" s="244"/>
      <c r="I228" s="244"/>
      <c r="J228" s="244"/>
      <c r="K228" s="244"/>
      <c r="L228" s="244"/>
      <c r="M228" s="244"/>
      <c r="N228" s="244"/>
      <c r="O228" s="244"/>
      <c r="P228" s="244"/>
      <c r="Q228" s="253"/>
      <c r="R228" s="263"/>
      <c r="S228" s="237">
        <f>R228-F228</f>
        <v>-2400</v>
      </c>
      <c r="T228" s="238">
        <f>IF(F228=0,0,S228/F228)</f>
        <v>-1</v>
      </c>
      <c r="U228" s="237">
        <f>R228*$C$4</f>
        <v>0</v>
      </c>
      <c r="V228" s="237">
        <f>U228-G228</f>
        <v>-3384</v>
      </c>
      <c r="W228" s="238">
        <f>IF(G228=0,0,V228/G228)</f>
        <v>-1</v>
      </c>
      <c r="X228" s="238"/>
    </row>
    <row r="229" spans="1:24" ht="13.8" thickTop="1" x14ac:dyDescent="0.25">
      <c r="B229" s="174"/>
      <c r="F229" s="175"/>
      <c r="H229" s="242"/>
      <c r="I229" s="242"/>
      <c r="J229" s="242"/>
      <c r="K229" s="242"/>
      <c r="L229" s="242"/>
      <c r="M229" s="242"/>
      <c r="N229" s="242"/>
      <c r="O229" s="242"/>
      <c r="P229" s="242"/>
      <c r="Q229" s="251"/>
      <c r="R229" s="257"/>
      <c r="S229" s="225"/>
      <c r="T229" s="231"/>
      <c r="U229" s="225"/>
      <c r="V229" s="225"/>
      <c r="W229" s="231"/>
      <c r="X229" s="231"/>
    </row>
    <row r="230" spans="1:24" x14ac:dyDescent="0.25">
      <c r="A230" s="99" t="s">
        <v>119</v>
      </c>
      <c r="B230" s="99" t="s">
        <v>193</v>
      </c>
      <c r="C230" s="2"/>
      <c r="D230" s="142"/>
      <c r="E230" s="143"/>
      <c r="F230" s="3"/>
      <c r="G230" s="53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6"/>
      <c r="S230" s="225"/>
      <c r="T230" s="231"/>
      <c r="U230" s="225"/>
      <c r="V230" s="225"/>
      <c r="W230" s="231"/>
      <c r="X230" s="231"/>
    </row>
    <row r="231" spans="1:24" x14ac:dyDescent="0.25">
      <c r="A231" s="109" t="s">
        <v>120</v>
      </c>
      <c r="B231" s="170" t="s">
        <v>783</v>
      </c>
      <c r="C231" s="21" t="s">
        <v>427</v>
      </c>
      <c r="D231" s="25">
        <v>2</v>
      </c>
      <c r="E231" s="18">
        <v>1000</v>
      </c>
      <c r="F231" s="3">
        <f>D231*E231</f>
        <v>2000</v>
      </c>
      <c r="G231" s="53">
        <f>F231*C4</f>
        <v>2820</v>
      </c>
      <c r="H231" s="242"/>
      <c r="I231" s="242"/>
      <c r="J231" s="242"/>
      <c r="K231" s="242"/>
      <c r="L231" s="242"/>
      <c r="M231" s="242"/>
      <c r="N231" s="242"/>
      <c r="O231" s="242"/>
      <c r="P231" s="242"/>
      <c r="Q231" s="251"/>
      <c r="R231" s="262"/>
      <c r="S231" s="225">
        <f>R231-F231</f>
        <v>-2000</v>
      </c>
      <c r="T231" s="231">
        <f>IF(F231=0,0,S231/F231)</f>
        <v>-1</v>
      </c>
      <c r="U231" s="225">
        <f>R231*$C$4</f>
        <v>0</v>
      </c>
      <c r="V231" s="225">
        <f>U231-G231</f>
        <v>-2820</v>
      </c>
      <c r="W231" s="231">
        <f>IF(G231=0,0,V231/G231)</f>
        <v>-1</v>
      </c>
      <c r="X231" s="231"/>
    </row>
    <row r="232" spans="1:24" hidden="1" x14ac:dyDescent="0.25">
      <c r="A232" s="109" t="s">
        <v>121</v>
      </c>
      <c r="B232" s="170" t="s">
        <v>130</v>
      </c>
      <c r="C232" s="35"/>
      <c r="D232" s="36"/>
      <c r="E232" s="39"/>
      <c r="F232" s="3">
        <f>D232*E232</f>
        <v>0</v>
      </c>
      <c r="G232" s="53">
        <f>F232*C4</f>
        <v>0</v>
      </c>
      <c r="H232" s="242"/>
      <c r="I232" s="242"/>
      <c r="J232" s="242"/>
      <c r="K232" s="242"/>
      <c r="L232" s="242"/>
      <c r="M232" s="242"/>
      <c r="N232" s="242"/>
      <c r="O232" s="242"/>
      <c r="P232" s="242"/>
      <c r="Q232" s="251"/>
      <c r="R232" s="262"/>
      <c r="S232" s="225">
        <f>R232-F232</f>
        <v>0</v>
      </c>
      <c r="T232" s="231">
        <f>IF(F232=0,0,S232/F232)</f>
        <v>0</v>
      </c>
      <c r="U232" s="225">
        <f>R232*$C$4</f>
        <v>0</v>
      </c>
      <c r="V232" s="225">
        <f>U232-G232</f>
        <v>0</v>
      </c>
      <c r="W232" s="231">
        <f>IF(G232=0,0,V232/G232)</f>
        <v>0</v>
      </c>
      <c r="X232" s="231"/>
    </row>
    <row r="233" spans="1:24" hidden="1" x14ac:dyDescent="0.25">
      <c r="A233" s="109" t="s">
        <v>122</v>
      </c>
      <c r="B233" s="170" t="s">
        <v>128</v>
      </c>
      <c r="C233" s="35"/>
      <c r="D233" s="36"/>
      <c r="E233" s="39"/>
      <c r="F233" s="3">
        <f>D233*E233</f>
        <v>0</v>
      </c>
      <c r="G233" s="53">
        <f>F233*C4</f>
        <v>0</v>
      </c>
      <c r="H233" s="242"/>
      <c r="I233" s="242"/>
      <c r="J233" s="242"/>
      <c r="K233" s="242"/>
      <c r="L233" s="242"/>
      <c r="M233" s="242"/>
      <c r="N233" s="242"/>
      <c r="O233" s="242"/>
      <c r="P233" s="242"/>
      <c r="Q233" s="251"/>
      <c r="R233" s="262"/>
      <c r="S233" s="225">
        <f>R233-F233</f>
        <v>0</v>
      </c>
      <c r="T233" s="231">
        <f>IF(F233=0,0,S233/F233)</f>
        <v>0</v>
      </c>
      <c r="U233" s="225">
        <f>R233*$C$4</f>
        <v>0</v>
      </c>
      <c r="V233" s="225">
        <f>U233-G233</f>
        <v>0</v>
      </c>
      <c r="W233" s="231">
        <f>IF(G233=0,0,V233/G233)</f>
        <v>0</v>
      </c>
      <c r="X233" s="231"/>
    </row>
    <row r="234" spans="1:24" s="339" customFormat="1" x14ac:dyDescent="0.25">
      <c r="A234" s="338" t="s">
        <v>123</v>
      </c>
      <c r="B234" s="288" t="s">
        <v>370</v>
      </c>
      <c r="C234" s="21" t="s">
        <v>453</v>
      </c>
      <c r="D234" s="21">
        <v>3</v>
      </c>
      <c r="E234" s="21">
        <v>1333</v>
      </c>
      <c r="F234" s="21">
        <f>D234*E234</f>
        <v>3999</v>
      </c>
      <c r="G234" s="339">
        <f>F234*C4</f>
        <v>5638.5899999999992</v>
      </c>
      <c r="H234" s="340"/>
      <c r="I234" s="340"/>
      <c r="J234" s="340"/>
      <c r="K234" s="340"/>
      <c r="L234" s="340"/>
      <c r="M234" s="340"/>
      <c r="N234" s="340"/>
      <c r="O234" s="340"/>
      <c r="P234" s="340"/>
      <c r="Q234" s="341"/>
      <c r="R234" s="342"/>
      <c r="S234" s="343">
        <f>R234-F234</f>
        <v>-3999</v>
      </c>
      <c r="T234" s="344">
        <f>IF(F234=0,0,S234/F234)</f>
        <v>-1</v>
      </c>
      <c r="U234" s="343">
        <f>R234*$C$4</f>
        <v>0</v>
      </c>
      <c r="V234" s="343">
        <f>U234-G234</f>
        <v>-5638.5899999999992</v>
      </c>
      <c r="W234" s="344">
        <f>IF(G234=0,0,V234/G234)</f>
        <v>-1</v>
      </c>
      <c r="X234" s="344"/>
    </row>
    <row r="235" spans="1:24" x14ac:dyDescent="0.25">
      <c r="A235" s="99"/>
      <c r="B235" s="170"/>
      <c r="C235" s="40"/>
      <c r="D235" s="41"/>
      <c r="E235" s="42"/>
      <c r="F235" s="3"/>
      <c r="G235" s="53"/>
      <c r="H235" s="242"/>
      <c r="I235" s="242"/>
      <c r="J235" s="242"/>
      <c r="K235" s="242"/>
      <c r="L235" s="242"/>
      <c r="M235" s="242"/>
      <c r="N235" s="242"/>
      <c r="O235" s="242"/>
      <c r="P235" s="242"/>
      <c r="Q235" s="251"/>
      <c r="R235" s="256"/>
      <c r="S235" s="225"/>
      <c r="T235" s="231"/>
      <c r="U235" s="225"/>
      <c r="V235" s="225"/>
      <c r="W235" s="231"/>
      <c r="X235" s="231"/>
    </row>
    <row r="236" spans="1:24" ht="13.8" thickBot="1" x14ac:dyDescent="0.3">
      <c r="A236" s="99"/>
      <c r="B236" s="146" t="s">
        <v>194</v>
      </c>
      <c r="C236" s="172"/>
      <c r="D236" s="171"/>
      <c r="E236" s="173"/>
      <c r="F236" s="50">
        <f>SUM(F231:F234)</f>
        <v>5999</v>
      </c>
      <c r="G236" s="50">
        <f>SUM(G231:G234)</f>
        <v>8458.59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37">
        <f>R236-F236</f>
        <v>-5999</v>
      </c>
      <c r="T236" s="238">
        <f>IF(F236=0,0,S236/F236)</f>
        <v>-1</v>
      </c>
      <c r="U236" s="237">
        <f>R236*$C$4</f>
        <v>0</v>
      </c>
      <c r="V236" s="237">
        <f>U236-G236</f>
        <v>-8458.59</v>
      </c>
      <c r="W236" s="238">
        <f>IF(G236=0,0,V236/G236)</f>
        <v>-1</v>
      </c>
      <c r="X236" s="238"/>
    </row>
    <row r="237" spans="1:24" ht="13.8" thickTop="1" x14ac:dyDescent="0.25">
      <c r="B237" s="174"/>
      <c r="F237" s="175"/>
      <c r="H237" s="242"/>
      <c r="I237" s="242"/>
      <c r="J237" s="242"/>
      <c r="K237" s="242"/>
      <c r="L237" s="242"/>
      <c r="M237" s="242"/>
      <c r="N237" s="242"/>
      <c r="O237" s="242"/>
      <c r="P237" s="242"/>
      <c r="Q237" s="251"/>
      <c r="R237" s="257"/>
      <c r="S237" s="225"/>
      <c r="T237" s="231"/>
      <c r="U237" s="225"/>
      <c r="V237" s="225"/>
      <c r="W237" s="231"/>
      <c r="X237" s="231"/>
    </row>
    <row r="238" spans="1:24" x14ac:dyDescent="0.25">
      <c r="A238" s="99" t="s">
        <v>157</v>
      </c>
      <c r="B238" s="99" t="s">
        <v>156</v>
      </c>
      <c r="C238" s="2"/>
      <c r="D238" s="142"/>
      <c r="E238" s="143"/>
      <c r="F238" s="3"/>
      <c r="G238" s="53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6"/>
      <c r="S238" s="225"/>
      <c r="T238" s="231"/>
      <c r="U238" s="225"/>
      <c r="V238" s="225"/>
      <c r="W238" s="231"/>
      <c r="X238" s="231"/>
    </row>
    <row r="239" spans="1:24" hidden="1" x14ac:dyDescent="0.25">
      <c r="A239" s="109" t="s">
        <v>162</v>
      </c>
      <c r="B239" s="170" t="s">
        <v>294</v>
      </c>
      <c r="C239" s="35"/>
      <c r="D239" s="36"/>
      <c r="E239" s="39"/>
      <c r="F239" s="3">
        <f>D239*E239</f>
        <v>0</v>
      </c>
      <c r="G239" s="53">
        <f>F239*C4</f>
        <v>0</v>
      </c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62"/>
      <c r="S239" s="225">
        <f>R239-F239</f>
        <v>0</v>
      </c>
      <c r="T239" s="231">
        <f>IF(F239=0,0,S239/F239)</f>
        <v>0</v>
      </c>
      <c r="U239" s="225">
        <f>R239*$C$4</f>
        <v>0</v>
      </c>
      <c r="V239" s="225">
        <f>U239-G239</f>
        <v>0</v>
      </c>
      <c r="W239" s="231">
        <f>IF(G239=0,0,V239/G239)</f>
        <v>0</v>
      </c>
      <c r="X239" s="231"/>
    </row>
    <row r="240" spans="1:24" ht="26.4" x14ac:dyDescent="0.25">
      <c r="A240" s="109" t="s">
        <v>163</v>
      </c>
      <c r="B240" s="288" t="s">
        <v>454</v>
      </c>
      <c r="C240" s="35" t="s">
        <v>439</v>
      </c>
      <c r="D240" s="39">
        <v>35</v>
      </c>
      <c r="E240" s="39">
        <f>30*5</f>
        <v>150</v>
      </c>
      <c r="F240" s="3">
        <f>D240*E240</f>
        <v>5250</v>
      </c>
      <c r="G240" s="53">
        <f>F240*C4</f>
        <v>7402.5</v>
      </c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62"/>
      <c r="S240" s="225">
        <f>R240-F240</f>
        <v>-5250</v>
      </c>
      <c r="T240" s="231">
        <f>IF(F240=0,0,S240/F240)</f>
        <v>-1</v>
      </c>
      <c r="U240" s="225">
        <f>R240*$C$4</f>
        <v>0</v>
      </c>
      <c r="V240" s="225">
        <f>U240-G240</f>
        <v>-7402.5</v>
      </c>
      <c r="W240" s="231">
        <f>IF(G240=0,0,V240/G240)</f>
        <v>-1</v>
      </c>
      <c r="X240" s="231"/>
    </row>
    <row r="241" spans="1:24" hidden="1" x14ac:dyDescent="0.25">
      <c r="A241" s="109" t="s">
        <v>164</v>
      </c>
      <c r="B241" s="170" t="s">
        <v>160</v>
      </c>
      <c r="C241" s="35"/>
      <c r="D241" s="36"/>
      <c r="E241" s="39"/>
      <c r="F241" s="3">
        <f>D241*E241</f>
        <v>0</v>
      </c>
      <c r="G241" s="53">
        <f>F241*C4</f>
        <v>0</v>
      </c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62"/>
      <c r="S241" s="225">
        <f>R241-F241</f>
        <v>0</v>
      </c>
      <c r="T241" s="231">
        <f>IF(F241=0,0,S241/F241)</f>
        <v>0</v>
      </c>
      <c r="U241" s="225">
        <f>R241*$C$4</f>
        <v>0</v>
      </c>
      <c r="V241" s="225">
        <f>U241-G241</f>
        <v>0</v>
      </c>
      <c r="W241" s="231">
        <f>IF(G241=0,0,V241/G241)</f>
        <v>0</v>
      </c>
      <c r="X241" s="231"/>
    </row>
    <row r="242" spans="1:24" x14ac:dyDescent="0.25">
      <c r="A242" s="99"/>
      <c r="B242" s="170"/>
      <c r="C242" s="40"/>
      <c r="D242" s="41"/>
      <c r="E242" s="42"/>
      <c r="F242" s="3"/>
      <c r="G242" s="53"/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56"/>
      <c r="S242" s="237"/>
      <c r="T242" s="238"/>
      <c r="U242" s="237"/>
      <c r="V242" s="237"/>
      <c r="W242" s="238"/>
      <c r="X242" s="238"/>
    </row>
    <row r="243" spans="1:24" ht="13.8" thickBot="1" x14ac:dyDescent="0.3">
      <c r="A243" s="99"/>
      <c r="B243" s="146" t="s">
        <v>161</v>
      </c>
      <c r="C243" s="172"/>
      <c r="D243" s="171"/>
      <c r="E243" s="173"/>
      <c r="F243" s="50">
        <f>SUM(F239:F241)</f>
        <v>5250</v>
      </c>
      <c r="G243" s="50">
        <f>SUM(G239:G241)</f>
        <v>7402.5</v>
      </c>
      <c r="H243" s="244"/>
      <c r="I243" s="244"/>
      <c r="J243" s="244"/>
      <c r="K243" s="244"/>
      <c r="L243" s="244"/>
      <c r="M243" s="244"/>
      <c r="N243" s="244"/>
      <c r="O243" s="244"/>
      <c r="P243" s="244"/>
      <c r="Q243" s="253"/>
      <c r="R243" s="263"/>
      <c r="S243" s="237">
        <f>R243-F243</f>
        <v>-5250</v>
      </c>
      <c r="T243" s="238">
        <f>IF(F243=0,0,S243/F243)</f>
        <v>-1</v>
      </c>
      <c r="U243" s="237">
        <f>R243*$C$4</f>
        <v>0</v>
      </c>
      <c r="V243" s="237">
        <f>U243-G243</f>
        <v>-7402.5</v>
      </c>
      <c r="W243" s="238">
        <f>IF(G243=0,0,V243/G243)</f>
        <v>-1</v>
      </c>
      <c r="X243" s="238"/>
    </row>
    <row r="244" spans="1:24" ht="13.8" thickTop="1" x14ac:dyDescent="0.25">
      <c r="A244" s="99"/>
      <c r="B244" s="146"/>
      <c r="C244" s="172"/>
      <c r="D244" s="171"/>
      <c r="E244" s="173"/>
      <c r="F244" s="169"/>
      <c r="G244" s="169"/>
      <c r="H244" s="244"/>
      <c r="I244" s="244"/>
      <c r="J244" s="244"/>
      <c r="K244" s="244"/>
      <c r="L244" s="244"/>
      <c r="M244" s="244"/>
      <c r="N244" s="244"/>
      <c r="O244" s="244"/>
      <c r="P244" s="244"/>
      <c r="Q244" s="253"/>
      <c r="R244" s="263"/>
      <c r="S244" s="237"/>
      <c r="T244" s="238"/>
      <c r="U244" s="237"/>
      <c r="V244" s="237"/>
      <c r="W244" s="238"/>
      <c r="X244" s="238"/>
    </row>
    <row r="245" spans="1:24" x14ac:dyDescent="0.25">
      <c r="A245" s="99" t="s">
        <v>310</v>
      </c>
      <c r="B245" s="146" t="s">
        <v>313</v>
      </c>
      <c r="C245" s="172"/>
      <c r="D245" s="171"/>
      <c r="E245" s="173"/>
      <c r="F245" s="169"/>
      <c r="G245" s="169"/>
      <c r="H245" s="244"/>
      <c r="I245" s="244"/>
      <c r="J245" s="244"/>
      <c r="K245" s="244"/>
      <c r="L245" s="244"/>
      <c r="M245" s="244"/>
      <c r="N245" s="244"/>
      <c r="O245" s="244"/>
      <c r="P245" s="244"/>
      <c r="Q245" s="253"/>
      <c r="R245" s="263"/>
      <c r="S245" s="237"/>
      <c r="T245" s="238"/>
      <c r="U245" s="237"/>
      <c r="V245" s="237"/>
      <c r="W245" s="238"/>
      <c r="X245" s="238"/>
    </row>
    <row r="246" spans="1:24" x14ac:dyDescent="0.25">
      <c r="A246" s="109" t="s">
        <v>315</v>
      </c>
      <c r="B246" s="157" t="s">
        <v>314</v>
      </c>
      <c r="C246" s="172"/>
      <c r="D246" s="171"/>
      <c r="E246" s="173">
        <f ca="1">F276/1.03*3%</f>
        <v>14733.941999999997</v>
      </c>
      <c r="F246" s="169">
        <f ca="1">E246</f>
        <v>14733.941999999997</v>
      </c>
      <c r="G246" s="169">
        <f ca="1">F246*C4</f>
        <v>20774.858219999995</v>
      </c>
      <c r="H246" s="244"/>
      <c r="I246" s="244"/>
      <c r="J246" s="244"/>
      <c r="K246" s="244"/>
      <c r="L246" s="244"/>
      <c r="M246" s="244"/>
      <c r="N246" s="244"/>
      <c r="O246" s="244"/>
      <c r="P246" s="244"/>
      <c r="Q246" s="253"/>
      <c r="R246" s="263" t="e">
        <f>#REF!/1.03*3%</f>
        <v>#REF!</v>
      </c>
      <c r="S246" s="237"/>
      <c r="T246" s="238"/>
      <c r="U246" s="237" t="e">
        <f>R246*C4</f>
        <v>#REF!</v>
      </c>
      <c r="V246" s="237"/>
      <c r="W246" s="238"/>
      <c r="X246" s="238"/>
    </row>
    <row r="247" spans="1:24" x14ac:dyDescent="0.25">
      <c r="A247" s="109"/>
      <c r="B247" s="157"/>
      <c r="C247" s="172"/>
      <c r="D247" s="171"/>
      <c r="E247" s="173"/>
      <c r="F247" s="169"/>
      <c r="G247" s="169"/>
      <c r="H247" s="244"/>
      <c r="I247" s="244"/>
      <c r="J247" s="244"/>
      <c r="K247" s="244"/>
      <c r="L247" s="244"/>
      <c r="M247" s="244"/>
      <c r="N247" s="244"/>
      <c r="O247" s="244"/>
      <c r="P247" s="244"/>
      <c r="Q247" s="253"/>
      <c r="R247" s="263"/>
      <c r="S247" s="237"/>
      <c r="T247" s="238"/>
      <c r="U247" s="237"/>
      <c r="V247" s="237"/>
      <c r="W247" s="238"/>
      <c r="X247" s="238"/>
    </row>
    <row r="248" spans="1:24" ht="13.8" thickBot="1" x14ac:dyDescent="0.3">
      <c r="A248" s="99"/>
      <c r="B248" s="146" t="s">
        <v>316</v>
      </c>
      <c r="C248" s="172"/>
      <c r="D248" s="171"/>
      <c r="E248" s="173"/>
      <c r="F248" s="50">
        <f ca="1">F246</f>
        <v>14733.941999999997</v>
      </c>
      <c r="G248" s="50">
        <f ca="1">G246</f>
        <v>20774.858219999995</v>
      </c>
      <c r="H248" s="267"/>
      <c r="I248" s="244"/>
      <c r="J248" s="244"/>
      <c r="K248" s="244"/>
      <c r="L248" s="244"/>
      <c r="M248" s="244"/>
      <c r="N248" s="244"/>
      <c r="O248" s="244"/>
      <c r="P248" s="244"/>
      <c r="Q248" s="253"/>
      <c r="R248" s="263"/>
      <c r="S248" s="237"/>
      <c r="T248" s="238"/>
      <c r="U248" s="237"/>
      <c r="V248" s="237"/>
      <c r="W248" s="238"/>
      <c r="X248" s="238"/>
    </row>
    <row r="249" spans="1:24" ht="13.8" thickTop="1" x14ac:dyDescent="0.25">
      <c r="A249" s="99"/>
      <c r="B249" s="146"/>
      <c r="C249" s="118"/>
      <c r="D249" s="122"/>
      <c r="E249" s="123"/>
      <c r="F249" s="169"/>
      <c r="G249" s="169"/>
      <c r="H249" s="244"/>
      <c r="I249" s="244"/>
      <c r="J249" s="244"/>
      <c r="K249" s="244"/>
      <c r="L249" s="244"/>
      <c r="M249" s="244"/>
      <c r="N249" s="244"/>
      <c r="O249" s="244"/>
      <c r="P249" s="244"/>
      <c r="Q249" s="253"/>
      <c r="R249" s="259"/>
      <c r="S249" s="225"/>
      <c r="T249" s="231"/>
      <c r="U249" s="225"/>
      <c r="V249" s="225"/>
      <c r="W249" s="231"/>
      <c r="X249" s="231"/>
    </row>
    <row r="250" spans="1:24" x14ac:dyDescent="0.25">
      <c r="A250" s="99"/>
      <c r="B250" s="146"/>
      <c r="C250" s="118"/>
      <c r="D250" s="122"/>
      <c r="E250" s="123"/>
      <c r="F250" s="169"/>
      <c r="G250" s="169"/>
      <c r="H250" s="244"/>
      <c r="I250" s="244"/>
      <c r="J250" s="244"/>
      <c r="K250" s="244"/>
      <c r="L250" s="244"/>
      <c r="M250" s="244"/>
      <c r="N250" s="244"/>
      <c r="O250" s="244"/>
      <c r="P250" s="244"/>
      <c r="Q250" s="253"/>
      <c r="R250" s="259"/>
      <c r="S250" s="225"/>
      <c r="T250" s="231"/>
      <c r="U250" s="225"/>
      <c r="V250" s="225"/>
      <c r="W250" s="231"/>
      <c r="X250" s="231"/>
    </row>
    <row r="251" spans="1:24" ht="13.8" thickBot="1" x14ac:dyDescent="0.3">
      <c r="A251" s="176"/>
      <c r="B251" s="177" t="s">
        <v>49</v>
      </c>
      <c r="C251" s="179"/>
      <c r="D251" s="178"/>
      <c r="E251" s="180"/>
      <c r="F251" s="54">
        <f ca="1">SUM(F100+F177+F189+F208+F219+F228+F236+F243+F248)</f>
        <v>429581.94199999998</v>
      </c>
      <c r="G251" s="54">
        <f ca="1">F251*C4</f>
        <v>605710.53821999999</v>
      </c>
      <c r="H251" s="244"/>
      <c r="I251" s="244"/>
      <c r="J251" s="244"/>
      <c r="K251" s="244"/>
      <c r="L251" s="244"/>
      <c r="M251" s="244"/>
      <c r="N251" s="244"/>
      <c r="O251" s="244"/>
      <c r="P251" s="244"/>
      <c r="Q251" s="253"/>
      <c r="R251" s="263"/>
      <c r="S251" s="226">
        <f ca="1">R251-F251</f>
        <v>-429581.94199999998</v>
      </c>
      <c r="T251" s="236">
        <f ca="1">IF(F251=0,0,S251/F251)</f>
        <v>-1</v>
      </c>
      <c r="U251" s="226">
        <f>R251*$C$4</f>
        <v>0</v>
      </c>
      <c r="V251" s="226">
        <f ca="1">U251-G251</f>
        <v>-605710.53821999999</v>
      </c>
      <c r="W251" s="236">
        <f ca="1">IF(G251=0,0,V251/G251)</f>
        <v>-1</v>
      </c>
      <c r="X251" s="236"/>
    </row>
    <row r="252" spans="1:24" ht="13.8" thickTop="1" x14ac:dyDescent="0.25">
      <c r="B252" s="87"/>
      <c r="F252" s="48"/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57"/>
      <c r="S252" s="225"/>
      <c r="T252" s="231"/>
      <c r="U252" s="225"/>
      <c r="V252" s="225"/>
      <c r="W252" s="231"/>
      <c r="X252" s="231"/>
    </row>
    <row r="253" spans="1:24" x14ac:dyDescent="0.25">
      <c r="A253" s="70" t="s">
        <v>57</v>
      </c>
      <c r="F253" s="48"/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57"/>
      <c r="S253" s="225"/>
      <c r="T253" s="231"/>
      <c r="U253" s="225"/>
      <c r="V253" s="225"/>
      <c r="W253" s="231"/>
      <c r="X253" s="231"/>
    </row>
    <row r="254" spans="1:24" x14ac:dyDescent="0.25">
      <c r="A254" s="70" t="s">
        <v>18</v>
      </c>
      <c r="B254" s="181" t="s">
        <v>9</v>
      </c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4" x14ac:dyDescent="0.25">
      <c r="B255" s="181" t="s">
        <v>455</v>
      </c>
      <c r="C255" s="21" t="s">
        <v>393</v>
      </c>
      <c r="D255" s="25">
        <v>12</v>
      </c>
      <c r="E255" s="18">
        <f>8870*10%</f>
        <v>887</v>
      </c>
      <c r="F255" s="48">
        <f t="shared" ref="F255:F262" si="15">D255*E255</f>
        <v>10644</v>
      </c>
      <c r="G255" s="49">
        <f>F255*C4</f>
        <v>15008.039999999999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>
        <f>R255-F255</f>
        <v>-10644</v>
      </c>
      <c r="T255" s="231">
        <f>IF(F255=0,0,S255/F255)</f>
        <v>-1</v>
      </c>
      <c r="U255" s="225">
        <f>R255*$C$4</f>
        <v>0</v>
      </c>
      <c r="V255" s="225">
        <f>U255-G255</f>
        <v>-15008.039999999999</v>
      </c>
      <c r="W255" s="231">
        <f>IF(G255=0,0,V255/G255)</f>
        <v>-1</v>
      </c>
      <c r="X255" s="231"/>
    </row>
    <row r="256" spans="1:24" x14ac:dyDescent="0.25">
      <c r="B256" s="181" t="s">
        <v>456</v>
      </c>
      <c r="C256" s="21" t="s">
        <v>393</v>
      </c>
      <c r="D256" s="25">
        <v>12</v>
      </c>
      <c r="E256" s="18">
        <f>5680*10%</f>
        <v>568</v>
      </c>
      <c r="F256" s="48">
        <f t="shared" si="15"/>
        <v>6816</v>
      </c>
      <c r="G256" s="49">
        <f>F256*C4</f>
        <v>9610.56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>
        <f>R256-F256</f>
        <v>-6816</v>
      </c>
      <c r="T256" s="231">
        <f>IF(F256=0,0,S256/F256)</f>
        <v>-1</v>
      </c>
      <c r="U256" s="225">
        <f>R256*$C$4</f>
        <v>0</v>
      </c>
      <c r="V256" s="225">
        <f>U256-G256</f>
        <v>-9610.56</v>
      </c>
      <c r="W256" s="231">
        <f>IF(G256=0,0,V256/G256)</f>
        <v>-1</v>
      </c>
      <c r="X256" s="231"/>
    </row>
    <row r="257" spans="2:24" ht="26.4" x14ac:dyDescent="0.25">
      <c r="B257" s="149" t="s">
        <v>457</v>
      </c>
      <c r="C257" s="21" t="s">
        <v>393</v>
      </c>
      <c r="D257" s="25">
        <v>12</v>
      </c>
      <c r="E257" s="18">
        <f>2380*15%</f>
        <v>357</v>
      </c>
      <c r="F257" s="48">
        <f t="shared" si="15"/>
        <v>4284</v>
      </c>
      <c r="G257" s="49">
        <f>F257*C4</f>
        <v>6040.44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62"/>
      <c r="S257" s="225">
        <f>R257-F257</f>
        <v>-4284</v>
      </c>
      <c r="T257" s="231">
        <f>IF(F257=0,0,S257/F257)</f>
        <v>-1</v>
      </c>
      <c r="U257" s="225">
        <f>R257*$C$4</f>
        <v>0</v>
      </c>
      <c r="V257" s="225">
        <f>U257-G257</f>
        <v>-6040.44</v>
      </c>
      <c r="W257" s="231">
        <f>IF(G257=0,0,V257/G257)</f>
        <v>-1</v>
      </c>
      <c r="X257" s="231"/>
    </row>
    <row r="258" spans="2:24" x14ac:dyDescent="0.25">
      <c r="B258" s="149" t="s">
        <v>458</v>
      </c>
      <c r="C258" s="21" t="s">
        <v>393</v>
      </c>
      <c r="D258" s="25">
        <v>12</v>
      </c>
      <c r="E258" s="18">
        <f>3215*25%</f>
        <v>803.75</v>
      </c>
      <c r="F258" s="48">
        <f t="shared" si="15"/>
        <v>9645</v>
      </c>
      <c r="G258" s="49">
        <f>F258*C4</f>
        <v>13599.449999999999</v>
      </c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62"/>
      <c r="S258" s="225"/>
      <c r="T258" s="231"/>
      <c r="U258" s="225"/>
      <c r="V258" s="225"/>
      <c r="W258" s="231"/>
      <c r="X258" s="231"/>
    </row>
    <row r="259" spans="2:24" x14ac:dyDescent="0.25">
      <c r="B259" s="149" t="s">
        <v>459</v>
      </c>
      <c r="C259" s="21" t="s">
        <v>393</v>
      </c>
      <c r="D259" s="25">
        <v>12</v>
      </c>
      <c r="E259" s="18">
        <f>1650*20%</f>
        <v>330</v>
      </c>
      <c r="F259" s="48">
        <f t="shared" si="15"/>
        <v>3960</v>
      </c>
      <c r="G259" s="49">
        <f>F259*C4</f>
        <v>5583.5999999999995</v>
      </c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62"/>
      <c r="S259" s="225"/>
      <c r="T259" s="231"/>
      <c r="U259" s="225"/>
      <c r="V259" s="225"/>
      <c r="W259" s="231"/>
      <c r="X259" s="231"/>
    </row>
    <row r="260" spans="2:24" ht="26.4" x14ac:dyDescent="0.25">
      <c r="B260" s="149" t="s">
        <v>460</v>
      </c>
      <c r="C260" s="21" t="s">
        <v>393</v>
      </c>
      <c r="D260" s="25">
        <v>12</v>
      </c>
      <c r="E260" s="18">
        <f>2240*15%</f>
        <v>336</v>
      </c>
      <c r="F260" s="48">
        <f t="shared" si="15"/>
        <v>4032</v>
      </c>
      <c r="G260" s="49">
        <f>F260*C4</f>
        <v>5685.12</v>
      </c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62"/>
      <c r="S260" s="225"/>
      <c r="T260" s="231"/>
      <c r="U260" s="225"/>
      <c r="V260" s="225"/>
      <c r="W260" s="231"/>
      <c r="X260" s="231"/>
    </row>
    <row r="261" spans="2:24" x14ac:dyDescent="0.25">
      <c r="B261" s="149" t="s">
        <v>461</v>
      </c>
      <c r="C261" s="21" t="s">
        <v>393</v>
      </c>
      <c r="D261" s="25">
        <v>12</v>
      </c>
      <c r="E261" s="18">
        <f>1700*25%</f>
        <v>425</v>
      </c>
      <c r="F261" s="48">
        <f t="shared" si="15"/>
        <v>5100</v>
      </c>
      <c r="G261" s="49">
        <f>F261*C4</f>
        <v>7191</v>
      </c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62"/>
      <c r="S261" s="225"/>
      <c r="T261" s="231"/>
      <c r="U261" s="225"/>
      <c r="V261" s="225"/>
      <c r="W261" s="231"/>
      <c r="X261" s="231"/>
    </row>
    <row r="262" spans="2:24" x14ac:dyDescent="0.25">
      <c r="B262" s="149" t="s">
        <v>462</v>
      </c>
      <c r="C262" s="21" t="s">
        <v>393</v>
      </c>
      <c r="D262" s="25">
        <v>12</v>
      </c>
      <c r="E262" s="18">
        <f>1716*25%</f>
        <v>429</v>
      </c>
      <c r="F262" s="48">
        <f t="shared" si="15"/>
        <v>5148</v>
      </c>
      <c r="G262" s="49">
        <f>F262*C4</f>
        <v>7258.6799999999994</v>
      </c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62"/>
      <c r="S262" s="225"/>
      <c r="T262" s="231"/>
      <c r="U262" s="225"/>
      <c r="V262" s="225"/>
      <c r="W262" s="231"/>
      <c r="X262" s="231"/>
    </row>
    <row r="263" spans="2:24" x14ac:dyDescent="0.25">
      <c r="B263" s="182" t="s">
        <v>35</v>
      </c>
      <c r="C263" s="6"/>
      <c r="D263" s="7"/>
      <c r="E263" s="8"/>
      <c r="F263" s="48"/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57"/>
      <c r="S263" s="225"/>
      <c r="T263" s="231"/>
      <c r="U263" s="225"/>
      <c r="V263" s="225"/>
      <c r="W263" s="231"/>
      <c r="X263" s="231"/>
    </row>
    <row r="264" spans="2:24" x14ac:dyDescent="0.25">
      <c r="B264" s="137" t="s">
        <v>465</v>
      </c>
      <c r="C264" s="21" t="s">
        <v>392</v>
      </c>
      <c r="D264" s="25">
        <v>12</v>
      </c>
      <c r="E264" s="18">
        <f>(27000*25%)/12</f>
        <v>562.5</v>
      </c>
      <c r="F264" s="48">
        <f>D264*E264</f>
        <v>6750</v>
      </c>
      <c r="G264" s="49">
        <f>F264*C4</f>
        <v>9517.5</v>
      </c>
      <c r="H264" s="242"/>
      <c r="I264" s="242"/>
      <c r="J264" s="242"/>
      <c r="K264" s="242"/>
      <c r="L264" s="242"/>
      <c r="M264" s="242"/>
      <c r="N264" s="242"/>
      <c r="O264" s="242"/>
      <c r="P264" s="242"/>
      <c r="Q264" s="251"/>
      <c r="R264" s="262"/>
      <c r="S264" s="225">
        <f>R264-F264</f>
        <v>-6750</v>
      </c>
      <c r="T264" s="231">
        <f>IF(F264=0,0,S264/F264)</f>
        <v>-1</v>
      </c>
      <c r="U264" s="225">
        <f>R264*$C$4</f>
        <v>0</v>
      </c>
      <c r="V264" s="225">
        <f>U264-G264</f>
        <v>-9517.5</v>
      </c>
      <c r="W264" s="231">
        <f>IF(G264=0,0,V264/G264)</f>
        <v>-1</v>
      </c>
      <c r="X264" s="231"/>
    </row>
    <row r="265" spans="2:24" x14ac:dyDescent="0.25">
      <c r="B265" s="137" t="s">
        <v>37</v>
      </c>
      <c r="C265" s="21" t="s">
        <v>393</v>
      </c>
      <c r="D265" s="25">
        <v>12</v>
      </c>
      <c r="E265" s="18">
        <v>350</v>
      </c>
      <c r="F265" s="48">
        <f>D265*E265</f>
        <v>4200</v>
      </c>
      <c r="G265" s="49">
        <f>F265*C4</f>
        <v>5922</v>
      </c>
      <c r="H265" s="242"/>
      <c r="I265" s="242"/>
      <c r="J265" s="242"/>
      <c r="K265" s="242"/>
      <c r="L265" s="242"/>
      <c r="M265" s="242"/>
      <c r="N265" s="242"/>
      <c r="O265" s="242"/>
      <c r="P265" s="242"/>
      <c r="Q265" s="251"/>
      <c r="R265" s="262"/>
      <c r="S265" s="225">
        <f>R265-F265</f>
        <v>-4200</v>
      </c>
      <c r="T265" s="231">
        <f>IF(F265=0,0,S265/F265)</f>
        <v>-1</v>
      </c>
      <c r="U265" s="225">
        <f>R265*$C$4</f>
        <v>0</v>
      </c>
      <c r="V265" s="225">
        <f>U265-G265</f>
        <v>-5922</v>
      </c>
      <c r="W265" s="231">
        <f>IF(G265=0,0,V265/G265)</f>
        <v>-1</v>
      </c>
      <c r="X265" s="231"/>
    </row>
    <row r="266" spans="2:24" x14ac:dyDescent="0.25">
      <c r="B266" s="137" t="s">
        <v>38</v>
      </c>
      <c r="C266" s="21" t="s">
        <v>464</v>
      </c>
      <c r="D266" s="25">
        <v>1</v>
      </c>
      <c r="E266" s="18">
        <v>1258</v>
      </c>
      <c r="F266" s="48"/>
      <c r="H266" s="242"/>
      <c r="I266" s="242"/>
      <c r="J266" s="242"/>
      <c r="K266" s="242"/>
      <c r="L266" s="242"/>
      <c r="M266" s="242"/>
      <c r="N266" s="242"/>
      <c r="O266" s="242"/>
      <c r="P266" s="242"/>
      <c r="Q266" s="251"/>
      <c r="R266" s="262"/>
      <c r="S266" s="225"/>
      <c r="T266" s="231"/>
      <c r="U266" s="225"/>
      <c r="V266" s="225"/>
      <c r="W266" s="231"/>
      <c r="X266" s="231"/>
    </row>
    <row r="267" spans="2:24" x14ac:dyDescent="0.25">
      <c r="B267" s="137" t="s">
        <v>463</v>
      </c>
      <c r="C267" s="21" t="s">
        <v>393</v>
      </c>
      <c r="D267" s="25">
        <v>12</v>
      </c>
      <c r="E267" s="18">
        <f>+(1051*50%)*2</f>
        <v>1051</v>
      </c>
      <c r="F267" s="48">
        <f>D267*E267</f>
        <v>12612</v>
      </c>
      <c r="G267" s="49">
        <f>F267*C4</f>
        <v>17782.919999999998</v>
      </c>
      <c r="H267" s="242"/>
      <c r="I267" s="242"/>
      <c r="J267" s="242"/>
      <c r="K267" s="242"/>
      <c r="L267" s="242"/>
      <c r="M267" s="242"/>
      <c r="N267" s="242"/>
      <c r="O267" s="242"/>
      <c r="P267" s="242"/>
      <c r="Q267" s="251"/>
      <c r="R267" s="262"/>
      <c r="S267" s="225">
        <f>R267-F267</f>
        <v>-12612</v>
      </c>
      <c r="T267" s="231">
        <f>IF(F267=0,0,S267/F267)</f>
        <v>-1</v>
      </c>
      <c r="U267" s="225">
        <f>R267*$C$4</f>
        <v>0</v>
      </c>
      <c r="V267" s="225">
        <f>U267-G267</f>
        <v>-17782.919999999998</v>
      </c>
      <c r="W267" s="231">
        <f>IF(G267=0,0,V267/G267)</f>
        <v>-1</v>
      </c>
      <c r="X267" s="231"/>
    </row>
    <row r="268" spans="2:24" x14ac:dyDescent="0.25">
      <c r="B268" s="182" t="s">
        <v>39</v>
      </c>
      <c r="C268" s="6"/>
      <c r="D268" s="7"/>
      <c r="E268" s="8"/>
      <c r="F268" s="48"/>
      <c r="H268" s="242"/>
      <c r="I268" s="242"/>
      <c r="J268" s="242"/>
      <c r="K268" s="242"/>
      <c r="L268" s="242"/>
      <c r="M268" s="242"/>
      <c r="N268" s="242"/>
      <c r="O268" s="242"/>
      <c r="P268" s="242"/>
      <c r="Q268" s="251"/>
      <c r="R268" s="257"/>
      <c r="S268" s="225"/>
      <c r="T268" s="231"/>
      <c r="U268" s="225"/>
      <c r="V268" s="225"/>
      <c r="W268" s="231"/>
      <c r="X268" s="231"/>
    </row>
    <row r="269" spans="2:24" x14ac:dyDescent="0.25">
      <c r="B269" s="137" t="s">
        <v>40</v>
      </c>
      <c r="C269" s="21" t="s">
        <v>392</v>
      </c>
      <c r="D269" s="25">
        <v>12</v>
      </c>
      <c r="E269" s="18">
        <v>257.7</v>
      </c>
      <c r="F269" s="48">
        <f>D269*E269</f>
        <v>3092.3999999999996</v>
      </c>
      <c r="G269" s="49">
        <f>F269*C4</f>
        <v>4360.2839999999997</v>
      </c>
      <c r="H269" s="242"/>
      <c r="I269" s="242"/>
      <c r="J269" s="242"/>
      <c r="K269" s="242"/>
      <c r="L269" s="242"/>
      <c r="M269" s="242"/>
      <c r="N269" s="242"/>
      <c r="O269" s="242"/>
      <c r="P269" s="242"/>
      <c r="Q269" s="251"/>
      <c r="R269" s="262"/>
      <c r="S269" s="225">
        <f>R269-F269</f>
        <v>-3092.3999999999996</v>
      </c>
      <c r="T269" s="231">
        <f>IF(F269=0,0,S269/F269)</f>
        <v>-1</v>
      </c>
      <c r="U269" s="225">
        <f>R269*$C$4</f>
        <v>0</v>
      </c>
      <c r="V269" s="225">
        <f>U269-G269</f>
        <v>-4360.2839999999997</v>
      </c>
      <c r="W269" s="231">
        <f>IF(G269=0,0,V269/G269)</f>
        <v>-1</v>
      </c>
      <c r="X269" s="231"/>
    </row>
    <row r="270" spans="2:24" x14ac:dyDescent="0.25">
      <c r="B270" s="182" t="s">
        <v>41</v>
      </c>
      <c r="C270" s="5"/>
      <c r="D270" s="5"/>
      <c r="E270" s="5"/>
      <c r="F270" s="168"/>
      <c r="H270" s="242"/>
      <c r="I270" s="242"/>
      <c r="J270" s="242"/>
      <c r="K270" s="242"/>
      <c r="L270" s="242"/>
      <c r="M270" s="242"/>
      <c r="N270" s="242"/>
      <c r="O270" s="242"/>
      <c r="P270" s="242"/>
      <c r="Q270" s="251"/>
      <c r="R270" s="257"/>
      <c r="S270" s="225"/>
      <c r="T270" s="231"/>
      <c r="U270" s="225"/>
      <c r="V270" s="225"/>
      <c r="W270" s="231"/>
      <c r="X270" s="231"/>
    </row>
    <row r="271" spans="2:24" x14ac:dyDescent="0.25">
      <c r="B271" s="137" t="s">
        <v>42</v>
      </c>
      <c r="C271" s="35"/>
      <c r="D271" s="36"/>
      <c r="E271" s="39"/>
      <c r="F271" s="48">
        <f>D271*E271</f>
        <v>0</v>
      </c>
      <c r="G271" s="49">
        <f>F271*C4</f>
        <v>0</v>
      </c>
      <c r="H271" s="242"/>
      <c r="I271" s="242"/>
      <c r="J271" s="242"/>
      <c r="K271" s="242"/>
      <c r="L271" s="242"/>
      <c r="M271" s="242"/>
      <c r="N271" s="242"/>
      <c r="O271" s="242"/>
      <c r="P271" s="242"/>
      <c r="Q271" s="251"/>
      <c r="R271" s="262"/>
      <c r="S271" s="225">
        <f>R271-F271</f>
        <v>0</v>
      </c>
      <c r="T271" s="231">
        <f>IF(F271=0,0,S271/F271)</f>
        <v>0</v>
      </c>
      <c r="U271" s="225">
        <f>R271*$C$4</f>
        <v>0</v>
      </c>
      <c r="V271" s="225">
        <f>U271-G271</f>
        <v>0</v>
      </c>
      <c r="W271" s="231">
        <f>IF(G271=0,0,V271/G271)</f>
        <v>0</v>
      </c>
      <c r="X271" s="231"/>
    </row>
    <row r="272" spans="2:24" x14ac:dyDescent="0.25">
      <c r="B272" s="149"/>
      <c r="C272" s="6"/>
      <c r="D272" s="7"/>
      <c r="E272" s="8"/>
      <c r="F272" s="48"/>
      <c r="H272" s="242"/>
      <c r="I272" s="242"/>
      <c r="J272" s="242"/>
      <c r="K272" s="242"/>
      <c r="L272" s="242"/>
      <c r="M272" s="242"/>
      <c r="N272" s="242"/>
      <c r="O272" s="242"/>
      <c r="P272" s="242"/>
      <c r="Q272" s="251"/>
      <c r="R272" s="257"/>
      <c r="S272" s="225"/>
      <c r="T272" s="231"/>
      <c r="U272" s="225"/>
      <c r="V272" s="225"/>
      <c r="W272" s="231"/>
      <c r="X272" s="231"/>
    </row>
    <row r="273" spans="1:25" x14ac:dyDescent="0.25">
      <c r="A273" s="177"/>
      <c r="B273" s="177" t="s">
        <v>58</v>
      </c>
      <c r="C273" s="179"/>
      <c r="D273" s="178"/>
      <c r="E273" s="180"/>
      <c r="F273" s="263">
        <f>SUM(F255:F272)</f>
        <v>76283.399999999994</v>
      </c>
      <c r="G273" s="319">
        <f>SUM(G255:G272)</f>
        <v>107559.594</v>
      </c>
      <c r="H273" s="246"/>
      <c r="I273" s="246"/>
      <c r="J273" s="246"/>
      <c r="K273" s="246"/>
      <c r="L273" s="246"/>
      <c r="M273" s="246"/>
      <c r="N273" s="246"/>
      <c r="O273" s="246"/>
      <c r="P273" s="246"/>
      <c r="Q273" s="255"/>
      <c r="R273" s="265"/>
      <c r="S273" s="226">
        <f>R273-F273</f>
        <v>-76283.399999999994</v>
      </c>
      <c r="T273" s="236">
        <f>IF(F273=0,0,S273/F273)</f>
        <v>-1</v>
      </c>
      <c r="U273" s="226">
        <f>R273*$C$4</f>
        <v>0</v>
      </c>
      <c r="V273" s="226">
        <f>U273-G273</f>
        <v>-107559.594</v>
      </c>
      <c r="W273" s="236">
        <f>IF(G273=0,0,V273/G273)</f>
        <v>-1</v>
      </c>
      <c r="X273" s="236"/>
    </row>
    <row r="274" spans="1:25" x14ac:dyDescent="0.25">
      <c r="A274" s="146"/>
      <c r="B274" s="146"/>
      <c r="C274" s="118"/>
      <c r="D274" s="122"/>
      <c r="E274" s="123"/>
      <c r="F274" s="55">
        <f ca="1">(F273/F276)</f>
        <v>0.15079783821205131</v>
      </c>
      <c r="G274" s="55">
        <f ca="1">(G273/G276)</f>
        <v>0.15079783821205128</v>
      </c>
      <c r="H274" s="247"/>
      <c r="I274" s="248"/>
      <c r="J274" s="248"/>
      <c r="K274" s="248"/>
      <c r="L274" s="248"/>
      <c r="M274" s="248"/>
      <c r="N274" s="248"/>
      <c r="O274" s="248"/>
      <c r="P274" s="248"/>
      <c r="Q274" s="248"/>
      <c r="R274" s="228"/>
      <c r="S274" s="228"/>
      <c r="T274" s="228"/>
      <c r="U274" s="228"/>
      <c r="V274" s="228"/>
      <c r="W274" s="183" t="s">
        <v>180</v>
      </c>
      <c r="X274" s="183"/>
      <c r="Y274" s="53"/>
    </row>
    <row r="275" spans="1:25" x14ac:dyDescent="0.25">
      <c r="F275" s="48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1"/>
      <c r="S275" s="1"/>
      <c r="T275" s="1"/>
      <c r="U275" s="1"/>
      <c r="V275" s="1"/>
    </row>
    <row r="276" spans="1:25" ht="13.8" thickBot="1" x14ac:dyDescent="0.3">
      <c r="A276" s="275"/>
      <c r="B276" s="275" t="s">
        <v>318</v>
      </c>
      <c r="C276" s="276"/>
      <c r="D276" s="277"/>
      <c r="E276" s="274"/>
      <c r="F276" s="278">
        <f ca="1">SUM(F251+F273)</f>
        <v>505865.34199999995</v>
      </c>
      <c r="G276" s="278">
        <f ca="1">G251+G273</f>
        <v>713270.13222000003</v>
      </c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175"/>
      <c r="S276" s="175"/>
      <c r="T276" s="175"/>
      <c r="U276" s="175"/>
      <c r="V276" s="175"/>
    </row>
    <row r="277" spans="1:25" ht="13.8" thickTop="1" x14ac:dyDescent="0.25">
      <c r="F277" s="4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"/>
      <c r="S277" s="1"/>
      <c r="T277" s="1"/>
      <c r="U277" s="1"/>
      <c r="V277" s="1"/>
    </row>
    <row r="278" spans="1:25" ht="13.8" thickBot="1" x14ac:dyDescent="0.3">
      <c r="A278" s="184" t="s">
        <v>24</v>
      </c>
      <c r="B278" s="185"/>
      <c r="C278" s="186"/>
      <c r="D278" s="187"/>
      <c r="E278" s="188"/>
      <c r="F278" s="56">
        <f ca="1">SUM(F276-F73)</f>
        <v>505865.34199999995</v>
      </c>
      <c r="G278" s="56">
        <f ca="1">SUM(G276-G73)</f>
        <v>713270.13222000003</v>
      </c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229"/>
      <c r="S278" s="229"/>
      <c r="T278" s="229"/>
      <c r="U278" s="229"/>
      <c r="V278" s="229"/>
    </row>
    <row r="279" spans="1:25" ht="13.8" thickTop="1" x14ac:dyDescent="0.25">
      <c r="F279" s="74"/>
    </row>
    <row r="280" spans="1:25" x14ac:dyDescent="0.25">
      <c r="A280" s="70" t="s">
        <v>15</v>
      </c>
      <c r="F280" s="74"/>
    </row>
    <row r="281" spans="1:25" x14ac:dyDescent="0.25">
      <c r="F281" s="74"/>
    </row>
    <row r="282" spans="1:25" ht="15" x14ac:dyDescent="0.4">
      <c r="B282" s="190" t="s">
        <v>16</v>
      </c>
      <c r="D282" s="191" t="s">
        <v>26</v>
      </c>
      <c r="F282" s="393" t="s">
        <v>17</v>
      </c>
      <c r="G282" s="394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</row>
    <row r="283" spans="1:25" ht="15" x14ac:dyDescent="0.4">
      <c r="B283" s="49" t="s">
        <v>865</v>
      </c>
      <c r="D283" s="191">
        <v>1000</v>
      </c>
      <c r="F283" s="363" t="s">
        <v>866</v>
      </c>
    </row>
    <row r="284" spans="1:25" x14ac:dyDescent="0.25">
      <c r="F284" s="74"/>
    </row>
    <row r="285" spans="1:25" x14ac:dyDescent="0.25">
      <c r="F285" s="74"/>
    </row>
    <row r="286" spans="1:25" x14ac:dyDescent="0.25">
      <c r="F286" s="74"/>
    </row>
    <row r="287" spans="1:25" x14ac:dyDescent="0.25">
      <c r="F287" s="74"/>
    </row>
    <row r="288" spans="1:25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  <row r="1889" spans="6:6" x14ac:dyDescent="0.25">
      <c r="F1889" s="74"/>
    </row>
    <row r="1890" spans="6:6" x14ac:dyDescent="0.25">
      <c r="F1890" s="74"/>
    </row>
    <row r="1891" spans="6:6" x14ac:dyDescent="0.25">
      <c r="F1891" s="74"/>
    </row>
    <row r="1892" spans="6:6" x14ac:dyDescent="0.25">
      <c r="F1892" s="74"/>
    </row>
    <row r="1893" spans="6:6" x14ac:dyDescent="0.25">
      <c r="F1893" s="74"/>
    </row>
    <row r="1894" spans="6:6" x14ac:dyDescent="0.25">
      <c r="F1894" s="74"/>
    </row>
    <row r="1895" spans="6:6" x14ac:dyDescent="0.25">
      <c r="F1895" s="74"/>
    </row>
    <row r="1896" spans="6:6" x14ac:dyDescent="0.25">
      <c r="F1896" s="74"/>
    </row>
  </sheetData>
  <mergeCells count="3">
    <mergeCell ref="A1:G1"/>
    <mergeCell ref="H76:Q76"/>
    <mergeCell ref="F282:G282"/>
  </mergeCells>
  <conditionalFormatting sqref="F274:V274">
    <cfRule type="cellIs" dxfId="7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3"/>
  <sheetViews>
    <sheetView view="pageBreakPreview" zoomScale="110" zoomScaleNormal="100" zoomScaleSheetLayoutView="110" workbookViewId="0">
      <pane ySplit="78" topLeftCell="A273" activePane="bottomLeft" state="frozen"/>
      <selection pane="bottomLeft" activeCell="G260" sqref="G260"/>
    </sheetView>
  </sheetViews>
  <sheetFormatPr defaultColWidth="9.109375" defaultRowHeight="13.2" x14ac:dyDescent="0.25"/>
  <cols>
    <col min="1" max="1" width="6.3320312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1.6640625" style="49" customWidth="1"/>
    <col min="8" max="17" width="10.109375" style="49" hidden="1" customWidth="1"/>
    <col min="18" max="19" width="13.6640625" style="49" hidden="1" customWidth="1"/>
    <col min="20" max="22" width="10.109375" style="49" hidden="1" customWidth="1"/>
    <col min="23" max="24" width="9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f>Consolidated!C4</f>
        <v>1</v>
      </c>
      <c r="F4" s="74"/>
      <c r="Y4" s="77"/>
    </row>
    <row r="5" spans="1:27" x14ac:dyDescent="0.25">
      <c r="B5" s="78" t="s">
        <v>755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839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838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x14ac:dyDescent="0.25">
      <c r="A83" s="136" t="s">
        <v>80</v>
      </c>
      <c r="B83" s="57" t="s">
        <v>466</v>
      </c>
      <c r="C83" s="21" t="s">
        <v>393</v>
      </c>
      <c r="D83" s="25">
        <v>12</v>
      </c>
      <c r="E83" s="18">
        <f>3580*50%</f>
        <v>1790</v>
      </c>
      <c r="F83" s="48">
        <f t="shared" ref="F83:F88" si="0">D83*E83</f>
        <v>21480</v>
      </c>
      <c r="G83" s="318">
        <f>F83*C4</f>
        <v>21480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54" si="1">R83-F83</f>
        <v>-21480</v>
      </c>
      <c r="T83" s="231">
        <f t="shared" ref="T83:T154" si="2">IF(F83=0,0,S83/F83)</f>
        <v>-1</v>
      </c>
      <c r="U83" s="225">
        <f t="shared" ref="U83:U154" si="3">R83*$C$4</f>
        <v>0</v>
      </c>
      <c r="V83" s="225">
        <f t="shared" ref="V83:V154" si="4">U83-G83</f>
        <v>-21480</v>
      </c>
      <c r="W83" s="231">
        <f t="shared" ref="W83:W154" si="5">IF(G83=0,0,V83/G83)</f>
        <v>-1</v>
      </c>
      <c r="X83" s="231"/>
    </row>
    <row r="84" spans="1:24" hidden="1" x14ac:dyDescent="0.25">
      <c r="A84" s="139" t="s">
        <v>83</v>
      </c>
      <c r="B84" s="57"/>
      <c r="C84" s="21"/>
      <c r="D84" s="25"/>
      <c r="E84" s="18"/>
      <c r="F84" s="47">
        <f t="shared" si="0"/>
        <v>0</v>
      </c>
      <c r="G84" s="318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139" t="s">
        <v>84</v>
      </c>
      <c r="B85" s="57"/>
      <c r="C85" s="21"/>
      <c r="D85" s="25"/>
      <c r="E85" s="18"/>
      <c r="F85" s="47">
        <f t="shared" si="0"/>
        <v>0</v>
      </c>
      <c r="G85" s="318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 t="shared" si="0"/>
        <v>0</v>
      </c>
      <c r="G86" s="318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 t="shared" si="0"/>
        <v>0</v>
      </c>
      <c r="G87" s="318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 t="shared" si="0"/>
        <v>0</v>
      </c>
      <c r="G88" s="318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G89" s="295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G90" s="295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106" t="s">
        <v>467</v>
      </c>
      <c r="C91" s="21" t="s">
        <v>393</v>
      </c>
      <c r="D91" s="25">
        <v>12</v>
      </c>
      <c r="E91" s="18">
        <v>2100</v>
      </c>
      <c r="F91" s="48">
        <f t="shared" ref="F91:F96" si="6">D91*E91</f>
        <v>25200</v>
      </c>
      <c r="G91" s="295">
        <f>F91*C4</f>
        <v>25200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-25200</v>
      </c>
      <c r="T91" s="231">
        <f t="shared" si="2"/>
        <v>-1</v>
      </c>
      <c r="U91" s="225">
        <f t="shared" si="3"/>
        <v>0</v>
      </c>
      <c r="V91" s="225">
        <f t="shared" si="4"/>
        <v>-25200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468</v>
      </c>
      <c r="C92" s="21" t="s">
        <v>393</v>
      </c>
      <c r="D92" s="25">
        <v>12</v>
      </c>
      <c r="E92" s="18">
        <v>600</v>
      </c>
      <c r="F92" s="48">
        <f t="shared" si="6"/>
        <v>7200</v>
      </c>
      <c r="G92" s="295">
        <f>F92*C4</f>
        <v>7200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-7200</v>
      </c>
      <c r="T92" s="231">
        <f t="shared" si="2"/>
        <v>-1</v>
      </c>
      <c r="U92" s="225">
        <f t="shared" si="3"/>
        <v>0</v>
      </c>
      <c r="V92" s="225">
        <f t="shared" si="4"/>
        <v>-7200</v>
      </c>
      <c r="W92" s="231">
        <f t="shared" si="5"/>
        <v>-1</v>
      </c>
      <c r="X92" s="231"/>
    </row>
    <row r="93" spans="1:24" x14ac:dyDescent="0.25">
      <c r="A93" s="144" t="s">
        <v>89</v>
      </c>
      <c r="B93" s="106" t="s">
        <v>469</v>
      </c>
      <c r="C93" s="21" t="s">
        <v>393</v>
      </c>
      <c r="D93" s="25">
        <v>12</v>
      </c>
      <c r="E93" s="18">
        <v>1200</v>
      </c>
      <c r="F93" s="48">
        <f t="shared" si="6"/>
        <v>14400</v>
      </c>
      <c r="G93" s="295">
        <f>F93*C4</f>
        <v>14400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-14400</v>
      </c>
      <c r="T93" s="231">
        <f t="shared" si="2"/>
        <v>-1</v>
      </c>
      <c r="U93" s="225">
        <f t="shared" si="3"/>
        <v>0</v>
      </c>
      <c r="V93" s="225">
        <f t="shared" si="4"/>
        <v>-14400</v>
      </c>
      <c r="W93" s="231">
        <f t="shared" si="5"/>
        <v>-1</v>
      </c>
      <c r="X93" s="231"/>
    </row>
    <row r="94" spans="1:24" hidden="1" x14ac:dyDescent="0.25">
      <c r="A94" s="144" t="s">
        <v>90</v>
      </c>
      <c r="B94" s="57"/>
      <c r="C94" s="21"/>
      <c r="D94" s="25"/>
      <c r="E94" s="18"/>
      <c r="F94" s="48">
        <f t="shared" si="6"/>
        <v>0</v>
      </c>
      <c r="G94" s="295">
        <f>F94*C4</f>
        <v>0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0</v>
      </c>
      <c r="T94" s="231">
        <f t="shared" si="2"/>
        <v>0</v>
      </c>
      <c r="U94" s="225">
        <f t="shared" si="3"/>
        <v>0</v>
      </c>
      <c r="V94" s="225">
        <f t="shared" si="4"/>
        <v>0</v>
      </c>
      <c r="W94" s="231">
        <f t="shared" si="5"/>
        <v>0</v>
      </c>
      <c r="X94" s="231"/>
    </row>
    <row r="95" spans="1:24" hidden="1" x14ac:dyDescent="0.25">
      <c r="A95" s="144" t="s">
        <v>91</v>
      </c>
      <c r="B95" s="57"/>
      <c r="C95" s="21"/>
      <c r="D95" s="25"/>
      <c r="E95" s="18"/>
      <c r="F95" s="48">
        <f t="shared" si="6"/>
        <v>0</v>
      </c>
      <c r="G95" s="295">
        <f>F95*C4</f>
        <v>0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0</v>
      </c>
      <c r="T95" s="231">
        <f t="shared" si="2"/>
        <v>0</v>
      </c>
      <c r="U95" s="225">
        <f t="shared" si="3"/>
        <v>0</v>
      </c>
      <c r="V95" s="225">
        <f t="shared" si="4"/>
        <v>0</v>
      </c>
      <c r="W95" s="231">
        <f t="shared" si="5"/>
        <v>0</v>
      </c>
      <c r="X95" s="231"/>
    </row>
    <row r="96" spans="1:24" hidden="1" x14ac:dyDescent="0.25">
      <c r="A96" s="144" t="s">
        <v>92</v>
      </c>
      <c r="B96" s="57"/>
      <c r="C96" s="21"/>
      <c r="D96" s="25"/>
      <c r="E96" s="18"/>
      <c r="F96" s="48">
        <f t="shared" si="6"/>
        <v>0</v>
      </c>
      <c r="G96" s="295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187</v>
      </c>
      <c r="C98" s="196"/>
      <c r="D98" s="197"/>
      <c r="E98" s="198"/>
      <c r="F98" s="199">
        <f>SUM(F83:F89)</f>
        <v>21480</v>
      </c>
      <c r="G98" s="194">
        <f>SUM(G83:G89)</f>
        <v>21480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-21480</v>
      </c>
      <c r="T98" s="231">
        <f t="shared" si="2"/>
        <v>-1</v>
      </c>
      <c r="U98" s="225">
        <f t="shared" si="3"/>
        <v>0</v>
      </c>
      <c r="V98" s="225">
        <f t="shared" si="4"/>
        <v>-21480</v>
      </c>
      <c r="W98" s="231">
        <f t="shared" si="5"/>
        <v>-1</v>
      </c>
      <c r="X98" s="231"/>
    </row>
    <row r="99" spans="1:24" hidden="1" x14ac:dyDescent="0.25">
      <c r="A99" s="194"/>
      <c r="B99" s="195" t="s">
        <v>186</v>
      </c>
      <c r="C99" s="196"/>
      <c r="D99" s="197"/>
      <c r="E99" s="198"/>
      <c r="F99" s="199">
        <f>SUM(F91:F97)</f>
        <v>46800</v>
      </c>
      <c r="G99" s="194">
        <f>SUM(G91:G97)</f>
        <v>46800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-46800</v>
      </c>
      <c r="T99" s="231">
        <f t="shared" si="2"/>
        <v>-1</v>
      </c>
      <c r="U99" s="225">
        <f t="shared" si="3"/>
        <v>0</v>
      </c>
      <c r="V99" s="225">
        <f t="shared" si="4"/>
        <v>-46800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68280</v>
      </c>
      <c r="G100" s="50">
        <f>SUM(G81+G83+G84+G85+G86+G87+G88+G91+G92+G93+G94+G95+G96)</f>
        <v>68280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-68280</v>
      </c>
      <c r="T100" s="238">
        <f t="shared" si="2"/>
        <v>-1</v>
      </c>
      <c r="U100" s="237">
        <f t="shared" si="3"/>
        <v>0</v>
      </c>
      <c r="V100" s="237">
        <f t="shared" si="4"/>
        <v>-68280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x14ac:dyDescent="0.25">
      <c r="A103" s="220" t="s">
        <v>94</v>
      </c>
      <c r="B103" s="221" t="s">
        <v>66</v>
      </c>
      <c r="C103" s="213"/>
      <c r="D103" s="214"/>
      <c r="E103" s="215"/>
      <c r="F103" s="208">
        <f>SUM(F104:F108)</f>
        <v>98000</v>
      </c>
      <c r="G103" s="315">
        <f>SUM(G104:G108)</f>
        <v>98000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-98000</v>
      </c>
      <c r="T103" s="240">
        <f t="shared" si="2"/>
        <v>-1</v>
      </c>
      <c r="U103" s="239">
        <f t="shared" si="3"/>
        <v>0</v>
      </c>
      <c r="V103" s="239">
        <f t="shared" si="4"/>
        <v>-98000</v>
      </c>
      <c r="W103" s="240">
        <f t="shared" si="5"/>
        <v>-1</v>
      </c>
      <c r="X103" s="240"/>
    </row>
    <row r="104" spans="1:24" ht="26.4" x14ac:dyDescent="0.25">
      <c r="A104" s="148" t="s">
        <v>195</v>
      </c>
      <c r="B104" s="106" t="s">
        <v>754</v>
      </c>
      <c r="C104" s="28" t="s">
        <v>470</v>
      </c>
      <c r="D104" s="281">
        <v>16</v>
      </c>
      <c r="E104" s="282">
        <v>6000</v>
      </c>
      <c r="F104" s="48">
        <f>D104*E104</f>
        <v>96000</v>
      </c>
      <c r="G104" s="295">
        <f>F104*C4</f>
        <v>96000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-96000</v>
      </c>
      <c r="T104" s="231">
        <f t="shared" si="2"/>
        <v>-1</v>
      </c>
      <c r="U104" s="225">
        <f t="shared" si="3"/>
        <v>0</v>
      </c>
      <c r="V104" s="225">
        <f t="shared" si="4"/>
        <v>-96000</v>
      </c>
      <c r="W104" s="231">
        <f t="shared" si="5"/>
        <v>-1</v>
      </c>
      <c r="X104" s="231"/>
    </row>
    <row r="105" spans="1:24" x14ac:dyDescent="0.25">
      <c r="A105" s="148" t="s">
        <v>196</v>
      </c>
      <c r="B105" s="106" t="s">
        <v>471</v>
      </c>
      <c r="C105" s="28" t="s">
        <v>392</v>
      </c>
      <c r="D105" s="281">
        <v>4</v>
      </c>
      <c r="E105" s="282">
        <v>500</v>
      </c>
      <c r="F105" s="48">
        <f>D105*E105</f>
        <v>2000</v>
      </c>
      <c r="G105" s="295">
        <f>F105*C4</f>
        <v>2000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-2000</v>
      </c>
      <c r="T105" s="231">
        <f t="shared" si="2"/>
        <v>-1</v>
      </c>
      <c r="U105" s="225">
        <f t="shared" si="3"/>
        <v>0</v>
      </c>
      <c r="V105" s="225">
        <f t="shared" si="4"/>
        <v>-2000</v>
      </c>
      <c r="W105" s="231">
        <f t="shared" si="5"/>
        <v>-1</v>
      </c>
      <c r="X105" s="231"/>
    </row>
    <row r="106" spans="1:24" hidden="1" x14ac:dyDescent="0.25">
      <c r="A106" s="148" t="s">
        <v>197</v>
      </c>
      <c r="B106" s="106" t="s">
        <v>251</v>
      </c>
      <c r="C106" s="28"/>
      <c r="D106" s="29"/>
      <c r="E106" s="30"/>
      <c r="F106" s="48">
        <f>D106*E106</f>
        <v>0</v>
      </c>
      <c r="G106" s="295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295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295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hidden="1" x14ac:dyDescent="0.25">
      <c r="A109" s="220" t="s">
        <v>95</v>
      </c>
      <c r="B109" s="221" t="s">
        <v>55</v>
      </c>
      <c r="C109" s="213"/>
      <c r="D109" s="214"/>
      <c r="E109" s="215"/>
      <c r="F109" s="208">
        <f>SUM(F110:F114)</f>
        <v>0</v>
      </c>
      <c r="G109" s="315">
        <f>SUM(G110:G114)</f>
        <v>0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0</v>
      </c>
      <c r="T109" s="240">
        <f t="shared" si="2"/>
        <v>0</v>
      </c>
      <c r="U109" s="239">
        <f t="shared" si="3"/>
        <v>0</v>
      </c>
      <c r="V109" s="239">
        <f t="shared" si="4"/>
        <v>0</v>
      </c>
      <c r="W109" s="240">
        <f t="shared" si="5"/>
        <v>0</v>
      </c>
      <c r="X109" s="240"/>
    </row>
    <row r="110" spans="1:24" hidden="1" x14ac:dyDescent="0.25">
      <c r="A110" s="148" t="s">
        <v>200</v>
      </c>
      <c r="B110" s="106" t="s">
        <v>254</v>
      </c>
      <c r="C110" s="28"/>
      <c r="D110" s="29"/>
      <c r="E110" s="30"/>
      <c r="F110" s="48">
        <f>D110*E110</f>
        <v>0</v>
      </c>
      <c r="G110" s="295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0</v>
      </c>
      <c r="T110" s="231">
        <f t="shared" si="2"/>
        <v>0</v>
      </c>
      <c r="U110" s="225">
        <f t="shared" si="3"/>
        <v>0</v>
      </c>
      <c r="V110" s="225">
        <f t="shared" si="4"/>
        <v>0</v>
      </c>
      <c r="W110" s="231">
        <f t="shared" si="5"/>
        <v>0</v>
      </c>
      <c r="X110" s="231"/>
    </row>
    <row r="111" spans="1:24" hidden="1" x14ac:dyDescent="0.25">
      <c r="A111" s="148" t="s">
        <v>201</v>
      </c>
      <c r="B111" s="106" t="s">
        <v>258</v>
      </c>
      <c r="C111" s="28"/>
      <c r="D111" s="29"/>
      <c r="E111" s="30"/>
      <c r="F111" s="48">
        <f>D111*E111</f>
        <v>0</v>
      </c>
      <c r="G111" s="295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148" t="s">
        <v>202</v>
      </c>
      <c r="B112" s="106" t="s">
        <v>257</v>
      </c>
      <c r="C112" s="28"/>
      <c r="D112" s="29"/>
      <c r="E112" s="30"/>
      <c r="F112" s="48">
        <f>D112*E112</f>
        <v>0</v>
      </c>
      <c r="G112" s="295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hidden="1" x14ac:dyDescent="0.25">
      <c r="A113" s="148" t="s">
        <v>203</v>
      </c>
      <c r="B113" s="106" t="s">
        <v>256</v>
      </c>
      <c r="C113" s="28"/>
      <c r="D113" s="29"/>
      <c r="E113" s="30"/>
      <c r="F113" s="48">
        <f>D113*E113</f>
        <v>0</v>
      </c>
      <c r="G113" s="295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204</v>
      </c>
      <c r="B114" s="106" t="s">
        <v>255</v>
      </c>
      <c r="C114" s="28"/>
      <c r="D114" s="29"/>
      <c r="E114" s="30"/>
      <c r="F114" s="48">
        <f>D114*E114</f>
        <v>0</v>
      </c>
      <c r="G114" s="295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220" t="s">
        <v>96</v>
      </c>
      <c r="B115" s="221" t="s">
        <v>67</v>
      </c>
      <c r="C115" s="213"/>
      <c r="D115" s="214"/>
      <c r="E115" s="215"/>
      <c r="F115" s="208">
        <f>SUM(F116:F120)</f>
        <v>0</v>
      </c>
      <c r="G115" s="315">
        <f>SUM(G116:G120)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39">
        <f t="shared" si="1"/>
        <v>0</v>
      </c>
      <c r="T115" s="240">
        <f t="shared" si="2"/>
        <v>0</v>
      </c>
      <c r="U115" s="239">
        <f t="shared" si="3"/>
        <v>0</v>
      </c>
      <c r="V115" s="239">
        <f t="shared" si="4"/>
        <v>0</v>
      </c>
      <c r="W115" s="240">
        <f t="shared" si="5"/>
        <v>0</v>
      </c>
      <c r="X115" s="240"/>
    </row>
    <row r="116" spans="1:24" hidden="1" x14ac:dyDescent="0.25">
      <c r="A116" s="148" t="s">
        <v>205</v>
      </c>
      <c r="B116" s="106" t="s">
        <v>259</v>
      </c>
      <c r="C116" s="28"/>
      <c r="D116" s="29"/>
      <c r="E116" s="30"/>
      <c r="F116" s="48">
        <f>D116*E116</f>
        <v>0</v>
      </c>
      <c r="G116" s="295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206</v>
      </c>
      <c r="B117" s="106" t="s">
        <v>260</v>
      </c>
      <c r="C117" s="28"/>
      <c r="D117" s="29"/>
      <c r="E117" s="30"/>
      <c r="F117" s="48">
        <f>D117*E117</f>
        <v>0</v>
      </c>
      <c r="G117" s="295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148" t="s">
        <v>207</v>
      </c>
      <c r="B118" s="106" t="s">
        <v>261</v>
      </c>
      <c r="C118" s="28"/>
      <c r="D118" s="29"/>
      <c r="E118" s="30"/>
      <c r="F118" s="48">
        <f>D118*E118</f>
        <v>0</v>
      </c>
      <c r="G118" s="295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208</v>
      </c>
      <c r="B119" s="106" t="s">
        <v>262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209</v>
      </c>
      <c r="B120" s="106" t="s">
        <v>263</v>
      </c>
      <c r="C120" s="28"/>
      <c r="D120" s="29"/>
      <c r="E120" s="30"/>
      <c r="F120" s="48">
        <f>D120*E120</f>
        <v>0</v>
      </c>
      <c r="G120" s="295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hidden="1" x14ac:dyDescent="0.25">
      <c r="A121" s="220" t="s">
        <v>97</v>
      </c>
      <c r="B121" s="221" t="s">
        <v>68</v>
      </c>
      <c r="C121" s="213"/>
      <c r="D121" s="214"/>
      <c r="E121" s="215"/>
      <c r="F121" s="208">
        <f>SUM(F122:F126)</f>
        <v>0</v>
      </c>
      <c r="G121" s="315">
        <f>SUM(G122:G126)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39">
        <f t="shared" si="1"/>
        <v>0</v>
      </c>
      <c r="T121" s="240">
        <f t="shared" si="2"/>
        <v>0</v>
      </c>
      <c r="U121" s="239">
        <f t="shared" si="3"/>
        <v>0</v>
      </c>
      <c r="V121" s="239">
        <f t="shared" si="4"/>
        <v>0</v>
      </c>
      <c r="W121" s="240">
        <f t="shared" si="5"/>
        <v>0</v>
      </c>
      <c r="X121" s="240"/>
    </row>
    <row r="122" spans="1:24" hidden="1" x14ac:dyDescent="0.25">
      <c r="A122" s="148" t="s">
        <v>210</v>
      </c>
      <c r="B122" s="106" t="s">
        <v>264</v>
      </c>
      <c r="C122" s="28"/>
      <c r="D122" s="29"/>
      <c r="E122" s="30"/>
      <c r="F122" s="48">
        <f>D122*E122</f>
        <v>0</v>
      </c>
      <c r="G122" s="295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0</v>
      </c>
      <c r="T122" s="231">
        <f t="shared" si="2"/>
        <v>0</v>
      </c>
      <c r="U122" s="225">
        <f t="shared" si="3"/>
        <v>0</v>
      </c>
      <c r="V122" s="225">
        <f t="shared" si="4"/>
        <v>0</v>
      </c>
      <c r="W122" s="231">
        <f t="shared" si="5"/>
        <v>0</v>
      </c>
      <c r="X122" s="231"/>
    </row>
    <row r="123" spans="1:24" hidden="1" x14ac:dyDescent="0.25">
      <c r="A123" s="148" t="s">
        <v>211</v>
      </c>
      <c r="B123" s="106" t="s">
        <v>265</v>
      </c>
      <c r="C123" s="28"/>
      <c r="D123" s="29"/>
      <c r="E123" s="30"/>
      <c r="F123" s="48">
        <f>D123*E123</f>
        <v>0</v>
      </c>
      <c r="G123" s="295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0</v>
      </c>
      <c r="T123" s="231">
        <f t="shared" si="2"/>
        <v>0</v>
      </c>
      <c r="U123" s="225">
        <f t="shared" si="3"/>
        <v>0</v>
      </c>
      <c r="V123" s="225">
        <f t="shared" si="4"/>
        <v>0</v>
      </c>
      <c r="W123" s="231">
        <f t="shared" si="5"/>
        <v>0</v>
      </c>
      <c r="X123" s="231"/>
    </row>
    <row r="124" spans="1:24" hidden="1" x14ac:dyDescent="0.25">
      <c r="A124" s="148" t="s">
        <v>212</v>
      </c>
      <c r="B124" s="106" t="s">
        <v>266</v>
      </c>
      <c r="C124" s="28"/>
      <c r="D124" s="29"/>
      <c r="E124" s="30"/>
      <c r="F124" s="48">
        <f>D124*E124</f>
        <v>0</v>
      </c>
      <c r="G124" s="295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213</v>
      </c>
      <c r="B125" s="106" t="s">
        <v>267</v>
      </c>
      <c r="C125" s="28"/>
      <c r="D125" s="29"/>
      <c r="E125" s="30"/>
      <c r="F125" s="48">
        <f>D125*E125</f>
        <v>0</v>
      </c>
      <c r="G125" s="295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214</v>
      </c>
      <c r="B126" s="106" t="s">
        <v>268</v>
      </c>
      <c r="C126" s="28"/>
      <c r="D126" s="29"/>
      <c r="E126" s="30"/>
      <c r="F126" s="48">
        <f>D126*E126</f>
        <v>0</v>
      </c>
      <c r="G126" s="295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x14ac:dyDescent="0.25">
      <c r="A127" s="220" t="s">
        <v>98</v>
      </c>
      <c r="B127" s="221" t="s">
        <v>69</v>
      </c>
      <c r="C127" s="213"/>
      <c r="D127" s="214"/>
      <c r="E127" s="215"/>
      <c r="F127" s="208">
        <f>SUM(F128:F132)</f>
        <v>9200</v>
      </c>
      <c r="G127" s="315">
        <f>SUM(G128:G132)</f>
        <v>9200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39">
        <f t="shared" si="1"/>
        <v>-9200</v>
      </c>
      <c r="T127" s="240">
        <f t="shared" si="2"/>
        <v>-1</v>
      </c>
      <c r="U127" s="239">
        <f t="shared" si="3"/>
        <v>0</v>
      </c>
      <c r="V127" s="239">
        <f t="shared" si="4"/>
        <v>-9200</v>
      </c>
      <c r="W127" s="240">
        <f t="shared" si="5"/>
        <v>-1</v>
      </c>
      <c r="X127" s="240"/>
    </row>
    <row r="128" spans="1:24" ht="26.4" x14ac:dyDescent="0.25">
      <c r="A128" s="148" t="s">
        <v>215</v>
      </c>
      <c r="B128" s="106" t="s">
        <v>472</v>
      </c>
      <c r="C128" s="28" t="s">
        <v>414</v>
      </c>
      <c r="D128" s="281">
        <v>80</v>
      </c>
      <c r="E128" s="282">
        <v>75</v>
      </c>
      <c r="F128" s="48">
        <f>D128*E128</f>
        <v>6000</v>
      </c>
      <c r="G128" s="295">
        <f>F128*C4</f>
        <v>6000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-6000</v>
      </c>
      <c r="T128" s="231">
        <f t="shared" si="2"/>
        <v>-1</v>
      </c>
      <c r="U128" s="225">
        <f t="shared" si="3"/>
        <v>0</v>
      </c>
      <c r="V128" s="225">
        <f t="shared" si="4"/>
        <v>-6000</v>
      </c>
      <c r="W128" s="231">
        <f t="shared" si="5"/>
        <v>-1</v>
      </c>
      <c r="X128" s="231"/>
    </row>
    <row r="129" spans="1:24" x14ac:dyDescent="0.25">
      <c r="A129" s="148" t="s">
        <v>216</v>
      </c>
      <c r="B129" s="106" t="s">
        <v>473</v>
      </c>
      <c r="C129" s="28" t="s">
        <v>474</v>
      </c>
      <c r="D129" s="281">
        <v>16</v>
      </c>
      <c r="E129" s="282">
        <v>100</v>
      </c>
      <c r="F129" s="48">
        <f>D129*E129</f>
        <v>1600</v>
      </c>
      <c r="G129" s="295">
        <f>F129*C4</f>
        <v>1600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-1600</v>
      </c>
      <c r="T129" s="231">
        <f t="shared" si="2"/>
        <v>-1</v>
      </c>
      <c r="U129" s="225">
        <f t="shared" si="3"/>
        <v>0</v>
      </c>
      <c r="V129" s="225">
        <f t="shared" si="4"/>
        <v>-1600</v>
      </c>
      <c r="W129" s="231">
        <f t="shared" si="5"/>
        <v>-1</v>
      </c>
      <c r="X129" s="231"/>
    </row>
    <row r="130" spans="1:24" ht="26.4" x14ac:dyDescent="0.25">
      <c r="A130" s="148" t="s">
        <v>217</v>
      </c>
      <c r="B130" s="106" t="s">
        <v>475</v>
      </c>
      <c r="C130" s="28" t="s">
        <v>436</v>
      </c>
      <c r="D130" s="281">
        <v>16</v>
      </c>
      <c r="E130" s="282">
        <v>100</v>
      </c>
      <c r="F130" s="48">
        <f>D130*E130</f>
        <v>1600</v>
      </c>
      <c r="G130" s="295">
        <f>F130*C4</f>
        <v>1600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-1600</v>
      </c>
      <c r="T130" s="231">
        <f t="shared" si="2"/>
        <v>-1</v>
      </c>
      <c r="U130" s="225">
        <f t="shared" si="3"/>
        <v>0</v>
      </c>
      <c r="V130" s="225">
        <f t="shared" si="4"/>
        <v>-1600</v>
      </c>
      <c r="W130" s="231">
        <f t="shared" si="5"/>
        <v>-1</v>
      </c>
      <c r="X130" s="231"/>
    </row>
    <row r="131" spans="1:24" hidden="1" x14ac:dyDescent="0.25">
      <c r="A131" s="148" t="s">
        <v>218</v>
      </c>
      <c r="B131" s="106" t="s">
        <v>272</v>
      </c>
      <c r="C131" s="28"/>
      <c r="D131" s="29"/>
      <c r="E131" s="30"/>
      <c r="F131" s="48">
        <f>D131*E131</f>
        <v>0</v>
      </c>
      <c r="G131" s="295">
        <f>F131*C4</f>
        <v>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0</v>
      </c>
      <c r="T131" s="231">
        <f t="shared" si="2"/>
        <v>0</v>
      </c>
      <c r="U131" s="225">
        <f t="shared" si="3"/>
        <v>0</v>
      </c>
      <c r="V131" s="225">
        <f t="shared" si="4"/>
        <v>0</v>
      </c>
      <c r="W131" s="231">
        <f t="shared" si="5"/>
        <v>0</v>
      </c>
      <c r="X131" s="231"/>
    </row>
    <row r="132" spans="1:24" hidden="1" x14ac:dyDescent="0.25">
      <c r="A132" s="148" t="s">
        <v>219</v>
      </c>
      <c r="B132" s="106" t="s">
        <v>273</v>
      </c>
      <c r="C132" s="28"/>
      <c r="D132" s="29"/>
      <c r="E132" s="30"/>
      <c r="F132" s="48">
        <f>D132*E132</f>
        <v>0</v>
      </c>
      <c r="G132" s="295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hidden="1" x14ac:dyDescent="0.25">
      <c r="A133" s="220" t="s">
        <v>99</v>
      </c>
      <c r="B133" s="221" t="s">
        <v>54</v>
      </c>
      <c r="C133" s="213"/>
      <c r="D133" s="214"/>
      <c r="E133" s="215"/>
      <c r="F133" s="208">
        <f>SUM(F134:F138)</f>
        <v>0</v>
      </c>
      <c r="G133" s="315">
        <f>SUM(G134:G138)</f>
        <v>0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39">
        <f t="shared" si="1"/>
        <v>0</v>
      </c>
      <c r="T133" s="240">
        <f t="shared" si="2"/>
        <v>0</v>
      </c>
      <c r="U133" s="239">
        <f t="shared" si="3"/>
        <v>0</v>
      </c>
      <c r="V133" s="239">
        <f t="shared" si="4"/>
        <v>0</v>
      </c>
      <c r="W133" s="240">
        <f t="shared" si="5"/>
        <v>0</v>
      </c>
      <c r="X133" s="240"/>
    </row>
    <row r="134" spans="1:24" hidden="1" x14ac:dyDescent="0.25">
      <c r="A134" s="148" t="s">
        <v>220</v>
      </c>
      <c r="B134" s="106" t="s">
        <v>274</v>
      </c>
      <c r="C134" s="28"/>
      <c r="D134" s="29"/>
      <c r="E134" s="30"/>
      <c r="F134" s="48">
        <f>D134*E134</f>
        <v>0</v>
      </c>
      <c r="G134" s="295">
        <f>F134*C4</f>
        <v>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0</v>
      </c>
      <c r="T134" s="231">
        <f t="shared" si="2"/>
        <v>0</v>
      </c>
      <c r="U134" s="225">
        <f t="shared" si="3"/>
        <v>0</v>
      </c>
      <c r="V134" s="225">
        <f t="shared" si="4"/>
        <v>0</v>
      </c>
      <c r="W134" s="231">
        <f t="shared" si="5"/>
        <v>0</v>
      </c>
      <c r="X134" s="231"/>
    </row>
    <row r="135" spans="1:24" hidden="1" x14ac:dyDescent="0.25">
      <c r="A135" s="148" t="s">
        <v>221</v>
      </c>
      <c r="B135" s="106" t="s">
        <v>275</v>
      </c>
      <c r="C135" s="28"/>
      <c r="D135" s="29"/>
      <c r="E135" s="30"/>
      <c r="F135" s="48">
        <f>D135*E135</f>
        <v>0</v>
      </c>
      <c r="G135" s="295">
        <f>F135*C4</f>
        <v>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0</v>
      </c>
      <c r="T135" s="231">
        <f t="shared" si="2"/>
        <v>0</v>
      </c>
      <c r="U135" s="225">
        <f t="shared" si="3"/>
        <v>0</v>
      </c>
      <c r="V135" s="225">
        <f t="shared" si="4"/>
        <v>0</v>
      </c>
      <c r="W135" s="231">
        <f t="shared" si="5"/>
        <v>0</v>
      </c>
      <c r="X135" s="231"/>
    </row>
    <row r="136" spans="1:24" hidden="1" x14ac:dyDescent="0.25">
      <c r="A136" s="148" t="s">
        <v>222</v>
      </c>
      <c r="B136" s="106" t="s">
        <v>276</v>
      </c>
      <c r="C136" s="28"/>
      <c r="D136" s="29"/>
      <c r="E136" s="30"/>
      <c r="F136" s="48">
        <f>D136*E136</f>
        <v>0</v>
      </c>
      <c r="G136" s="295">
        <f>F136*C4</f>
        <v>0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0</v>
      </c>
      <c r="T136" s="231">
        <f t="shared" si="2"/>
        <v>0</v>
      </c>
      <c r="U136" s="225">
        <f t="shared" si="3"/>
        <v>0</v>
      </c>
      <c r="V136" s="225">
        <f t="shared" si="4"/>
        <v>0</v>
      </c>
      <c r="W136" s="231">
        <f t="shared" si="5"/>
        <v>0</v>
      </c>
      <c r="X136" s="231"/>
    </row>
    <row r="137" spans="1:24" hidden="1" x14ac:dyDescent="0.25">
      <c r="A137" s="148" t="s">
        <v>223</v>
      </c>
      <c r="B137" s="106" t="s">
        <v>277</v>
      </c>
      <c r="C137" s="28"/>
      <c r="D137" s="29"/>
      <c r="E137" s="30"/>
      <c r="F137" s="48">
        <f>D137*E137</f>
        <v>0</v>
      </c>
      <c r="G137" s="295">
        <f>F137*C4</f>
        <v>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0</v>
      </c>
      <c r="T137" s="231">
        <f t="shared" si="2"/>
        <v>0</v>
      </c>
      <c r="U137" s="225">
        <f t="shared" si="3"/>
        <v>0</v>
      </c>
      <c r="V137" s="225">
        <f t="shared" si="4"/>
        <v>0</v>
      </c>
      <c r="W137" s="231">
        <f t="shared" si="5"/>
        <v>0</v>
      </c>
      <c r="X137" s="231"/>
    </row>
    <row r="138" spans="1:24" hidden="1" x14ac:dyDescent="0.25">
      <c r="A138" s="148" t="s">
        <v>224</v>
      </c>
      <c r="B138" s="106" t="s">
        <v>278</v>
      </c>
      <c r="C138" s="28"/>
      <c r="D138" s="29"/>
      <c r="E138" s="30"/>
      <c r="F138" s="48">
        <f>D138*E138</f>
        <v>0</v>
      </c>
      <c r="G138" s="295">
        <f>F138*C4</f>
        <v>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0</v>
      </c>
      <c r="T138" s="231">
        <f t="shared" si="2"/>
        <v>0</v>
      </c>
      <c r="U138" s="225">
        <f t="shared" si="3"/>
        <v>0</v>
      </c>
      <c r="V138" s="225">
        <f t="shared" si="4"/>
        <v>0</v>
      </c>
      <c r="W138" s="231">
        <f t="shared" si="5"/>
        <v>0</v>
      </c>
      <c r="X138" s="231"/>
    </row>
    <row r="139" spans="1:24" x14ac:dyDescent="0.25">
      <c r="A139" s="220" t="s">
        <v>100</v>
      </c>
      <c r="B139" s="221" t="s">
        <v>53</v>
      </c>
      <c r="C139" s="213"/>
      <c r="D139" s="214"/>
      <c r="E139" s="215"/>
      <c r="F139" s="208">
        <f>SUM(F140:F152)</f>
        <v>134000</v>
      </c>
      <c r="G139" s="315">
        <f>SUM(G140:G152)</f>
        <v>134000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39">
        <f t="shared" si="1"/>
        <v>-134000</v>
      </c>
      <c r="T139" s="240">
        <f t="shared" si="2"/>
        <v>-1</v>
      </c>
      <c r="U139" s="239">
        <f t="shared" si="3"/>
        <v>0</v>
      </c>
      <c r="V139" s="239">
        <f t="shared" si="4"/>
        <v>-134000</v>
      </c>
      <c r="W139" s="240">
        <f t="shared" si="5"/>
        <v>-1</v>
      </c>
      <c r="X139" s="240"/>
    </row>
    <row r="140" spans="1:24" ht="26.4" x14ac:dyDescent="0.25">
      <c r="A140" s="148" t="s">
        <v>225</v>
      </c>
      <c r="B140" s="106" t="s">
        <v>819</v>
      </c>
      <c r="C140" s="28" t="s">
        <v>474</v>
      </c>
      <c r="D140" s="281">
        <v>10</v>
      </c>
      <c r="E140" s="282">
        <v>900</v>
      </c>
      <c r="F140" s="48">
        <f>D140*E140</f>
        <v>9000</v>
      </c>
      <c r="G140" s="295">
        <f>F140*C4</f>
        <v>9000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1"/>
        <v>-9000</v>
      </c>
      <c r="T140" s="231">
        <f t="shared" si="2"/>
        <v>-1</v>
      </c>
      <c r="U140" s="225">
        <f t="shared" si="3"/>
        <v>0</v>
      </c>
      <c r="V140" s="225">
        <f t="shared" si="4"/>
        <v>-9000</v>
      </c>
      <c r="W140" s="231">
        <f t="shared" si="5"/>
        <v>-1</v>
      </c>
      <c r="X140" s="231"/>
    </row>
    <row r="141" spans="1:24" x14ac:dyDescent="0.25">
      <c r="A141" s="148" t="s">
        <v>226</v>
      </c>
      <c r="B141" s="106" t="s">
        <v>481</v>
      </c>
      <c r="C141" s="28" t="s">
        <v>482</v>
      </c>
      <c r="D141" s="281">
        <v>8</v>
      </c>
      <c r="E141" s="282">
        <v>150</v>
      </c>
      <c r="F141" s="48">
        <f>D141*E141</f>
        <v>1200</v>
      </c>
      <c r="G141" s="295">
        <f>F141*C4</f>
        <v>1200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-1200</v>
      </c>
      <c r="T141" s="231">
        <f t="shared" si="2"/>
        <v>-1</v>
      </c>
      <c r="U141" s="225">
        <f t="shared" si="3"/>
        <v>0</v>
      </c>
      <c r="V141" s="225">
        <f t="shared" si="4"/>
        <v>-1200</v>
      </c>
      <c r="W141" s="231">
        <f t="shared" si="5"/>
        <v>-1</v>
      </c>
      <c r="X141" s="231"/>
    </row>
    <row r="142" spans="1:24" x14ac:dyDescent="0.25">
      <c r="A142" s="148" t="s">
        <v>227</v>
      </c>
      <c r="B142" s="106" t="s">
        <v>483</v>
      </c>
      <c r="C142" s="28" t="s">
        <v>436</v>
      </c>
      <c r="D142" s="281">
        <v>8</v>
      </c>
      <c r="E142" s="282">
        <v>200</v>
      </c>
      <c r="F142" s="48">
        <f>D142*E142</f>
        <v>1600</v>
      </c>
      <c r="G142" s="295">
        <f>F142*C4</f>
        <v>1600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1"/>
        <v>-1600</v>
      </c>
      <c r="T142" s="231">
        <f t="shared" si="2"/>
        <v>-1</v>
      </c>
      <c r="U142" s="225">
        <f t="shared" si="3"/>
        <v>0</v>
      </c>
      <c r="V142" s="225">
        <f t="shared" si="4"/>
        <v>-1600</v>
      </c>
      <c r="W142" s="231">
        <f t="shared" si="5"/>
        <v>-1</v>
      </c>
      <c r="X142" s="231"/>
    </row>
    <row r="143" spans="1:24" x14ac:dyDescent="0.25">
      <c r="A143" s="148" t="s">
        <v>228</v>
      </c>
      <c r="B143" s="106" t="s">
        <v>484</v>
      </c>
      <c r="C143" s="289" t="s">
        <v>439</v>
      </c>
      <c r="D143" s="281">
        <v>1</v>
      </c>
      <c r="E143" s="282">
        <v>1000</v>
      </c>
      <c r="F143" s="48">
        <f>D143*E143</f>
        <v>1000</v>
      </c>
      <c r="G143" s="295">
        <f>F143*C4</f>
        <v>1000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-1000</v>
      </c>
      <c r="T143" s="231">
        <f t="shared" si="2"/>
        <v>-1</v>
      </c>
      <c r="U143" s="225">
        <f t="shared" si="3"/>
        <v>0</v>
      </c>
      <c r="V143" s="225">
        <f t="shared" si="4"/>
        <v>-1000</v>
      </c>
      <c r="W143" s="231">
        <f t="shared" si="5"/>
        <v>-1</v>
      </c>
      <c r="X143" s="231"/>
    </row>
    <row r="144" spans="1:24" ht="26.4" x14ac:dyDescent="0.25">
      <c r="A144" s="148" t="s">
        <v>229</v>
      </c>
      <c r="B144" s="106" t="s">
        <v>485</v>
      </c>
      <c r="C144" s="289" t="s">
        <v>486</v>
      </c>
      <c r="D144" s="281">
        <v>1</v>
      </c>
      <c r="E144" s="282">
        <v>2000</v>
      </c>
      <c r="F144" s="48">
        <f>D144*E144</f>
        <v>2000</v>
      </c>
      <c r="G144" s="295">
        <f>F144*C4</f>
        <v>2000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-2000</v>
      </c>
      <c r="T144" s="231">
        <f t="shared" si="2"/>
        <v>-1</v>
      </c>
      <c r="U144" s="225">
        <f t="shared" si="3"/>
        <v>0</v>
      </c>
      <c r="V144" s="225">
        <f t="shared" si="4"/>
        <v>-2000</v>
      </c>
      <c r="W144" s="231">
        <f t="shared" si="5"/>
        <v>-1</v>
      </c>
      <c r="X144" s="231"/>
    </row>
    <row r="145" spans="1:24" x14ac:dyDescent="0.25">
      <c r="A145" s="148" t="s">
        <v>354</v>
      </c>
      <c r="B145" s="106" t="s">
        <v>487</v>
      </c>
      <c r="C145" s="289" t="s">
        <v>451</v>
      </c>
      <c r="D145" s="281">
        <v>260</v>
      </c>
      <c r="E145" s="282">
        <v>5</v>
      </c>
      <c r="F145" s="48">
        <f t="shared" ref="F145:F152" si="7">D145*E145</f>
        <v>1300</v>
      </c>
      <c r="G145" s="295">
        <f>F145*C4</f>
        <v>1300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/>
      <c r="T145" s="231"/>
      <c r="U145" s="225"/>
      <c r="V145" s="225"/>
      <c r="W145" s="231"/>
      <c r="X145" s="231"/>
    </row>
    <row r="146" spans="1:24" ht="26.4" x14ac:dyDescent="0.25">
      <c r="A146" s="148" t="s">
        <v>353</v>
      </c>
      <c r="B146" s="106" t="s">
        <v>488</v>
      </c>
      <c r="C146" s="289" t="s">
        <v>486</v>
      </c>
      <c r="D146" s="281">
        <v>1</v>
      </c>
      <c r="E146" s="282">
        <v>500</v>
      </c>
      <c r="F146" s="48">
        <f t="shared" si="7"/>
        <v>500</v>
      </c>
      <c r="G146" s="295">
        <f>F146*C4</f>
        <v>500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/>
      <c r="T146" s="231"/>
      <c r="U146" s="225"/>
      <c r="V146" s="225"/>
      <c r="W146" s="231"/>
      <c r="X146" s="231"/>
    </row>
    <row r="147" spans="1:24" ht="26.4" x14ac:dyDescent="0.25">
      <c r="A147" s="148" t="s">
        <v>820</v>
      </c>
      <c r="B147" s="106" t="s">
        <v>821</v>
      </c>
      <c r="C147" s="289" t="s">
        <v>436</v>
      </c>
      <c r="D147" s="281">
        <v>1</v>
      </c>
      <c r="E147" s="282">
        <v>7500</v>
      </c>
      <c r="F147" s="48">
        <f t="shared" si="7"/>
        <v>7500</v>
      </c>
      <c r="G147" s="295">
        <f>F147*C4</f>
        <v>7500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/>
      <c r="T147" s="231"/>
      <c r="U147" s="225"/>
      <c r="V147" s="225"/>
      <c r="W147" s="231"/>
      <c r="X147" s="231"/>
    </row>
    <row r="148" spans="1:24" x14ac:dyDescent="0.25">
      <c r="A148" s="148" t="s">
        <v>477</v>
      </c>
      <c r="B148" s="106" t="s">
        <v>489</v>
      </c>
      <c r="C148" s="289" t="s">
        <v>436</v>
      </c>
      <c r="D148" s="281">
        <v>1</v>
      </c>
      <c r="E148" s="282">
        <v>300</v>
      </c>
      <c r="F148" s="48">
        <f t="shared" si="7"/>
        <v>300</v>
      </c>
      <c r="G148" s="295">
        <f>F148*C4</f>
        <v>300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/>
      <c r="T148" s="231"/>
      <c r="U148" s="225"/>
      <c r="V148" s="225"/>
      <c r="W148" s="231"/>
      <c r="X148" s="231"/>
    </row>
    <row r="149" spans="1:24" ht="26.4" x14ac:dyDescent="0.25">
      <c r="A149" s="148" t="s">
        <v>478</v>
      </c>
      <c r="B149" s="106" t="s">
        <v>490</v>
      </c>
      <c r="C149" s="28" t="s">
        <v>491</v>
      </c>
      <c r="D149" s="281">
        <v>16</v>
      </c>
      <c r="E149" s="282">
        <v>200</v>
      </c>
      <c r="F149" s="48">
        <f t="shared" si="7"/>
        <v>3200</v>
      </c>
      <c r="G149" s="295">
        <f>F149*C4</f>
        <v>3200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/>
      <c r="T149" s="231"/>
      <c r="U149" s="225"/>
      <c r="V149" s="225"/>
      <c r="W149" s="231"/>
      <c r="X149" s="231"/>
    </row>
    <row r="150" spans="1:24" x14ac:dyDescent="0.25">
      <c r="A150" s="148" t="s">
        <v>479</v>
      </c>
      <c r="B150" s="106" t="s">
        <v>492</v>
      </c>
      <c r="C150" s="28" t="s">
        <v>414</v>
      </c>
      <c r="D150" s="281">
        <v>6400</v>
      </c>
      <c r="E150" s="282">
        <v>11</v>
      </c>
      <c r="F150" s="48">
        <f t="shared" si="7"/>
        <v>70400</v>
      </c>
      <c r="G150" s="295">
        <f>F150*C4</f>
        <v>70400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/>
      <c r="T150" s="231"/>
      <c r="U150" s="225"/>
      <c r="V150" s="225"/>
      <c r="W150" s="231"/>
      <c r="X150" s="231"/>
    </row>
    <row r="151" spans="1:24" x14ac:dyDescent="0.25">
      <c r="A151" s="148" t="s">
        <v>480</v>
      </c>
      <c r="B151" s="106" t="s">
        <v>493</v>
      </c>
      <c r="C151" s="28" t="s">
        <v>414</v>
      </c>
      <c r="D151" s="281">
        <v>240</v>
      </c>
      <c r="E151" s="282">
        <v>75</v>
      </c>
      <c r="F151" s="48">
        <f t="shared" si="7"/>
        <v>18000</v>
      </c>
      <c r="G151" s="295">
        <f>F151*C4</f>
        <v>18000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/>
      <c r="T151" s="231"/>
      <c r="U151" s="225"/>
      <c r="V151" s="225"/>
      <c r="W151" s="231"/>
      <c r="X151" s="231"/>
    </row>
    <row r="152" spans="1:24" x14ac:dyDescent="0.25">
      <c r="A152" s="148" t="s">
        <v>822</v>
      </c>
      <c r="B152" s="106" t="s">
        <v>494</v>
      </c>
      <c r="C152" s="28" t="s">
        <v>414</v>
      </c>
      <c r="D152" s="281">
        <v>240</v>
      </c>
      <c r="E152" s="282">
        <v>75</v>
      </c>
      <c r="F152" s="48">
        <f t="shared" si="7"/>
        <v>18000</v>
      </c>
      <c r="G152" s="295">
        <f>F152*C4</f>
        <v>18000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/>
      <c r="T152" s="231"/>
      <c r="U152" s="225"/>
      <c r="V152" s="225"/>
      <c r="W152" s="231"/>
      <c r="X152" s="231"/>
    </row>
    <row r="153" spans="1:24" hidden="1" x14ac:dyDescent="0.25">
      <c r="A153" s="220" t="s">
        <v>101</v>
      </c>
      <c r="B153" s="221" t="s">
        <v>70</v>
      </c>
      <c r="C153" s="213"/>
      <c r="D153" s="214"/>
      <c r="E153" s="215"/>
      <c r="F153" s="208">
        <f>SUM(F154:F158)</f>
        <v>0</v>
      </c>
      <c r="G153" s="209">
        <f>SUM(G154:G158)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39">
        <f t="shared" si="1"/>
        <v>0</v>
      </c>
      <c r="T153" s="240">
        <f t="shared" si="2"/>
        <v>0</v>
      </c>
      <c r="U153" s="239">
        <f t="shared" si="3"/>
        <v>0</v>
      </c>
      <c r="V153" s="239">
        <f t="shared" si="4"/>
        <v>0</v>
      </c>
      <c r="W153" s="240">
        <f t="shared" si="5"/>
        <v>0</v>
      </c>
      <c r="X153" s="240"/>
    </row>
    <row r="154" spans="1:24" hidden="1" x14ac:dyDescent="0.25">
      <c r="A154" s="148" t="s">
        <v>230</v>
      </c>
      <c r="B154" s="106" t="s">
        <v>284</v>
      </c>
      <c r="C154" s="28"/>
      <c r="D154" s="29"/>
      <c r="E154" s="30"/>
      <c r="F154" s="48">
        <f>D154*E154</f>
        <v>0</v>
      </c>
      <c r="G154" s="49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1"/>
        <v>0</v>
      </c>
      <c r="T154" s="231">
        <f t="shared" si="2"/>
        <v>0</v>
      </c>
      <c r="U154" s="225">
        <f t="shared" si="3"/>
        <v>0</v>
      </c>
      <c r="V154" s="225">
        <f t="shared" si="4"/>
        <v>0</v>
      </c>
      <c r="W154" s="231">
        <f t="shared" si="5"/>
        <v>0</v>
      </c>
      <c r="X154" s="231"/>
    </row>
    <row r="155" spans="1:24" hidden="1" x14ac:dyDescent="0.25">
      <c r="A155" s="148" t="s">
        <v>231</v>
      </c>
      <c r="B155" s="106" t="s">
        <v>285</v>
      </c>
      <c r="C155" s="28"/>
      <c r="D155" s="29"/>
      <c r="E155" s="30"/>
      <c r="F155" s="48">
        <f>D155*E155</f>
        <v>0</v>
      </c>
      <c r="G155" s="49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ref="S155:S218" si="8">R155-F155</f>
        <v>0</v>
      </c>
      <c r="T155" s="231">
        <f t="shared" ref="T155:T218" si="9">IF(F155=0,0,S155/F155)</f>
        <v>0</v>
      </c>
      <c r="U155" s="225">
        <f t="shared" ref="U155:U218" si="10">R155*$C$4</f>
        <v>0</v>
      </c>
      <c r="V155" s="225">
        <f t="shared" ref="V155:V218" si="11">U155-G155</f>
        <v>0</v>
      </c>
      <c r="W155" s="231">
        <f t="shared" ref="W155:W218" si="12">IF(G155=0,0,V155/G155)</f>
        <v>0</v>
      </c>
      <c r="X155" s="231"/>
    </row>
    <row r="156" spans="1:24" hidden="1" x14ac:dyDescent="0.25">
      <c r="A156" s="148" t="s">
        <v>232</v>
      </c>
      <c r="B156" s="106" t="s">
        <v>286</v>
      </c>
      <c r="C156" s="28"/>
      <c r="D156" s="29"/>
      <c r="E156" s="30"/>
      <c r="F156" s="48">
        <f>D156*E156</f>
        <v>0</v>
      </c>
      <c r="G156" s="49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8"/>
        <v>0</v>
      </c>
      <c r="T156" s="231">
        <f t="shared" si="9"/>
        <v>0</v>
      </c>
      <c r="U156" s="225">
        <f t="shared" si="10"/>
        <v>0</v>
      </c>
      <c r="V156" s="225">
        <f t="shared" si="11"/>
        <v>0</v>
      </c>
      <c r="W156" s="231">
        <f t="shared" si="12"/>
        <v>0</v>
      </c>
      <c r="X156" s="231"/>
    </row>
    <row r="157" spans="1:24" hidden="1" x14ac:dyDescent="0.25">
      <c r="A157" s="148" t="s">
        <v>233</v>
      </c>
      <c r="B157" s="106" t="s">
        <v>287</v>
      </c>
      <c r="C157" s="28"/>
      <c r="D157" s="29"/>
      <c r="E157" s="30"/>
      <c r="F157" s="48">
        <f>D157*E157</f>
        <v>0</v>
      </c>
      <c r="G157" s="49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8"/>
        <v>0</v>
      </c>
      <c r="T157" s="231">
        <f t="shared" si="9"/>
        <v>0</v>
      </c>
      <c r="U157" s="225">
        <f t="shared" si="10"/>
        <v>0</v>
      </c>
      <c r="V157" s="225">
        <f t="shared" si="11"/>
        <v>0</v>
      </c>
      <c r="W157" s="231">
        <f t="shared" si="12"/>
        <v>0</v>
      </c>
      <c r="X157" s="231"/>
    </row>
    <row r="158" spans="1:24" hidden="1" x14ac:dyDescent="0.25">
      <c r="A158" s="148" t="s">
        <v>234</v>
      </c>
      <c r="B158" s="106" t="s">
        <v>288</v>
      </c>
      <c r="C158" s="28"/>
      <c r="D158" s="29"/>
      <c r="E158" s="30"/>
      <c r="F158" s="48">
        <f>D158*E158</f>
        <v>0</v>
      </c>
      <c r="G158" s="49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8"/>
        <v>0</v>
      </c>
      <c r="T158" s="231">
        <f t="shared" si="9"/>
        <v>0</v>
      </c>
      <c r="U158" s="225">
        <f t="shared" si="10"/>
        <v>0</v>
      </c>
      <c r="V158" s="225">
        <f t="shared" si="11"/>
        <v>0</v>
      </c>
      <c r="W158" s="231">
        <f t="shared" si="12"/>
        <v>0</v>
      </c>
      <c r="X158" s="231"/>
    </row>
    <row r="159" spans="1:24" hidden="1" x14ac:dyDescent="0.25">
      <c r="A159" s="220" t="s">
        <v>102</v>
      </c>
      <c r="B159" s="221" t="s">
        <v>295</v>
      </c>
      <c r="C159" s="213"/>
      <c r="D159" s="214"/>
      <c r="E159" s="215"/>
      <c r="F159" s="208">
        <f>SUM(F160:F164)</f>
        <v>0</v>
      </c>
      <c r="G159" s="209">
        <f>SUM(G160:G164)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39">
        <f t="shared" si="8"/>
        <v>0</v>
      </c>
      <c r="T159" s="240">
        <f t="shared" si="9"/>
        <v>0</v>
      </c>
      <c r="U159" s="239">
        <f t="shared" si="10"/>
        <v>0</v>
      </c>
      <c r="V159" s="239">
        <f t="shared" si="11"/>
        <v>0</v>
      </c>
      <c r="W159" s="240">
        <f t="shared" si="12"/>
        <v>0</v>
      </c>
      <c r="X159" s="240"/>
    </row>
    <row r="160" spans="1:24" hidden="1" x14ac:dyDescent="0.25">
      <c r="A160" s="153" t="s">
        <v>235</v>
      </c>
      <c r="B160" s="106" t="s">
        <v>298</v>
      </c>
      <c r="C160" s="28"/>
      <c r="D160" s="29"/>
      <c r="E160" s="30"/>
      <c r="F160" s="48">
        <f>D160*E160</f>
        <v>0</v>
      </c>
      <c r="G160" s="49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8"/>
        <v>0</v>
      </c>
      <c r="T160" s="231">
        <f t="shared" si="9"/>
        <v>0</v>
      </c>
      <c r="U160" s="225">
        <f t="shared" si="10"/>
        <v>0</v>
      </c>
      <c r="V160" s="225">
        <f t="shared" si="11"/>
        <v>0</v>
      </c>
      <c r="W160" s="231">
        <f t="shared" si="12"/>
        <v>0</v>
      </c>
      <c r="X160" s="231"/>
    </row>
    <row r="161" spans="1:24" hidden="1" x14ac:dyDescent="0.25">
      <c r="A161" s="153" t="s">
        <v>236</v>
      </c>
      <c r="B161" s="106" t="s">
        <v>299</v>
      </c>
      <c r="C161" s="28"/>
      <c r="D161" s="29"/>
      <c r="E161" s="30"/>
      <c r="F161" s="48">
        <f>D161*E161</f>
        <v>0</v>
      </c>
      <c r="G161" s="49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8"/>
        <v>0</v>
      </c>
      <c r="T161" s="231">
        <f t="shared" si="9"/>
        <v>0</v>
      </c>
      <c r="U161" s="225">
        <f t="shared" si="10"/>
        <v>0</v>
      </c>
      <c r="V161" s="225">
        <f t="shared" si="11"/>
        <v>0</v>
      </c>
      <c r="W161" s="231">
        <f t="shared" si="12"/>
        <v>0</v>
      </c>
      <c r="X161" s="231"/>
    </row>
    <row r="162" spans="1:24" hidden="1" x14ac:dyDescent="0.25">
      <c r="A162" s="153" t="s">
        <v>237</v>
      </c>
      <c r="B162" s="106" t="s">
        <v>300</v>
      </c>
      <c r="C162" s="28"/>
      <c r="D162" s="29"/>
      <c r="E162" s="30"/>
      <c r="F162" s="48">
        <f>D162*E162</f>
        <v>0</v>
      </c>
      <c r="G162" s="49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8"/>
        <v>0</v>
      </c>
      <c r="T162" s="231">
        <f t="shared" si="9"/>
        <v>0</v>
      </c>
      <c r="U162" s="225">
        <f t="shared" si="10"/>
        <v>0</v>
      </c>
      <c r="V162" s="225">
        <f t="shared" si="11"/>
        <v>0</v>
      </c>
      <c r="W162" s="231">
        <f t="shared" si="12"/>
        <v>0</v>
      </c>
      <c r="X162" s="231"/>
    </row>
    <row r="163" spans="1:24" hidden="1" x14ac:dyDescent="0.25">
      <c r="A163" s="153" t="s">
        <v>238</v>
      </c>
      <c r="B163" s="106" t="s">
        <v>301</v>
      </c>
      <c r="C163" s="28"/>
      <c r="D163" s="29"/>
      <c r="E163" s="30"/>
      <c r="F163" s="48">
        <f>D163*E163</f>
        <v>0</v>
      </c>
      <c r="G163" s="49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8"/>
        <v>0</v>
      </c>
      <c r="T163" s="231">
        <f t="shared" si="9"/>
        <v>0</v>
      </c>
      <c r="U163" s="225">
        <f t="shared" si="10"/>
        <v>0</v>
      </c>
      <c r="V163" s="225">
        <f t="shared" si="11"/>
        <v>0</v>
      </c>
      <c r="W163" s="231">
        <f t="shared" si="12"/>
        <v>0</v>
      </c>
      <c r="X163" s="231"/>
    </row>
    <row r="164" spans="1:24" hidden="1" x14ac:dyDescent="0.25">
      <c r="A164" s="153" t="s">
        <v>239</v>
      </c>
      <c r="B164" s="106" t="s">
        <v>302</v>
      </c>
      <c r="C164" s="28"/>
      <c r="D164" s="29"/>
      <c r="E164" s="30"/>
      <c r="F164" s="48">
        <f>D164*E164</f>
        <v>0</v>
      </c>
      <c r="G164" s="49">
        <f>F164*C4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25">
        <f t="shared" si="8"/>
        <v>0</v>
      </c>
      <c r="T164" s="231">
        <f t="shared" si="9"/>
        <v>0</v>
      </c>
      <c r="U164" s="225">
        <f t="shared" si="10"/>
        <v>0</v>
      </c>
      <c r="V164" s="225">
        <f t="shared" si="11"/>
        <v>0</v>
      </c>
      <c r="W164" s="231">
        <f t="shared" si="12"/>
        <v>0</v>
      </c>
      <c r="X164" s="231"/>
    </row>
    <row r="165" spans="1:24" hidden="1" x14ac:dyDescent="0.25">
      <c r="A165" s="220" t="s">
        <v>103</v>
      </c>
      <c r="B165" s="221" t="s">
        <v>308</v>
      </c>
      <c r="C165" s="213"/>
      <c r="D165" s="214"/>
      <c r="E165" s="215"/>
      <c r="F165" s="208">
        <f>SUM(F166:F170)</f>
        <v>0</v>
      </c>
      <c r="G165" s="209">
        <f>SUM(G166:G170)</f>
        <v>0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39">
        <f t="shared" si="8"/>
        <v>0</v>
      </c>
      <c r="T165" s="240">
        <f t="shared" si="9"/>
        <v>0</v>
      </c>
      <c r="U165" s="239">
        <f t="shared" si="10"/>
        <v>0</v>
      </c>
      <c r="V165" s="239">
        <f t="shared" si="11"/>
        <v>0</v>
      </c>
      <c r="W165" s="240">
        <f t="shared" si="12"/>
        <v>0</v>
      </c>
      <c r="X165" s="240"/>
    </row>
    <row r="166" spans="1:24" hidden="1" x14ac:dyDescent="0.25">
      <c r="A166" s="148" t="s">
        <v>240</v>
      </c>
      <c r="B166" s="106" t="s">
        <v>297</v>
      </c>
      <c r="C166" s="28"/>
      <c r="D166" s="29"/>
      <c r="E166" s="30"/>
      <c r="F166" s="48">
        <f>D166*E166</f>
        <v>0</v>
      </c>
      <c r="G166" s="49">
        <f>F166*C4</f>
        <v>0</v>
      </c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62"/>
      <c r="S166" s="225">
        <f t="shared" si="8"/>
        <v>0</v>
      </c>
      <c r="T166" s="231">
        <f t="shared" si="9"/>
        <v>0</v>
      </c>
      <c r="U166" s="225">
        <f t="shared" si="10"/>
        <v>0</v>
      </c>
      <c r="V166" s="225">
        <f t="shared" si="11"/>
        <v>0</v>
      </c>
      <c r="W166" s="231">
        <f t="shared" si="12"/>
        <v>0</v>
      </c>
      <c r="X166" s="231"/>
    </row>
    <row r="167" spans="1:24" hidden="1" x14ac:dyDescent="0.25">
      <c r="A167" s="148" t="s">
        <v>241</v>
      </c>
      <c r="B167" s="106" t="s">
        <v>303</v>
      </c>
      <c r="C167" s="28"/>
      <c r="D167" s="29"/>
      <c r="E167" s="30"/>
      <c r="F167" s="48">
        <f>D167*E167</f>
        <v>0</v>
      </c>
      <c r="G167" s="49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8"/>
        <v>0</v>
      </c>
      <c r="T167" s="231">
        <f t="shared" si="9"/>
        <v>0</v>
      </c>
      <c r="U167" s="225">
        <f t="shared" si="10"/>
        <v>0</v>
      </c>
      <c r="V167" s="225">
        <f t="shared" si="11"/>
        <v>0</v>
      </c>
      <c r="W167" s="231">
        <f t="shared" si="12"/>
        <v>0</v>
      </c>
      <c r="X167" s="231"/>
    </row>
    <row r="168" spans="1:24" hidden="1" x14ac:dyDescent="0.25">
      <c r="A168" s="148" t="s">
        <v>242</v>
      </c>
      <c r="B168" s="106" t="s">
        <v>304</v>
      </c>
      <c r="C168" s="28"/>
      <c r="D168" s="29"/>
      <c r="E168" s="30"/>
      <c r="F168" s="48">
        <f>D168*E168</f>
        <v>0</v>
      </c>
      <c r="G168" s="49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8"/>
        <v>0</v>
      </c>
      <c r="T168" s="231">
        <f t="shared" si="9"/>
        <v>0</v>
      </c>
      <c r="U168" s="225">
        <f t="shared" si="10"/>
        <v>0</v>
      </c>
      <c r="V168" s="225">
        <f t="shared" si="11"/>
        <v>0</v>
      </c>
      <c r="W168" s="231">
        <f t="shared" si="12"/>
        <v>0</v>
      </c>
      <c r="X168" s="231"/>
    </row>
    <row r="169" spans="1:24" hidden="1" x14ac:dyDescent="0.25">
      <c r="A169" s="148" t="s">
        <v>243</v>
      </c>
      <c r="B169" s="106" t="s">
        <v>305</v>
      </c>
      <c r="C169" s="28"/>
      <c r="D169" s="29"/>
      <c r="E169" s="30"/>
      <c r="F169" s="48">
        <f>D169*E169</f>
        <v>0</v>
      </c>
      <c r="G169" s="49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8"/>
        <v>0</v>
      </c>
      <c r="T169" s="231">
        <f t="shared" si="9"/>
        <v>0</v>
      </c>
      <c r="U169" s="225">
        <f t="shared" si="10"/>
        <v>0</v>
      </c>
      <c r="V169" s="225">
        <f t="shared" si="11"/>
        <v>0</v>
      </c>
      <c r="W169" s="231">
        <f t="shared" si="12"/>
        <v>0</v>
      </c>
      <c r="X169" s="231"/>
    </row>
    <row r="170" spans="1:24" hidden="1" x14ac:dyDescent="0.25">
      <c r="A170" s="148" t="s">
        <v>244</v>
      </c>
      <c r="B170" s="106" t="s">
        <v>306</v>
      </c>
      <c r="C170" s="28"/>
      <c r="D170" s="29"/>
      <c r="E170" s="30"/>
      <c r="F170" s="48">
        <f>D170*E170</f>
        <v>0</v>
      </c>
      <c r="G170" s="49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8"/>
        <v>0</v>
      </c>
      <c r="T170" s="231">
        <f t="shared" si="9"/>
        <v>0</v>
      </c>
      <c r="U170" s="225">
        <f t="shared" si="10"/>
        <v>0</v>
      </c>
      <c r="V170" s="225">
        <f t="shared" si="11"/>
        <v>0</v>
      </c>
      <c r="W170" s="231">
        <f t="shared" si="12"/>
        <v>0</v>
      </c>
      <c r="X170" s="231"/>
    </row>
    <row r="171" spans="1:24" x14ac:dyDescent="0.25">
      <c r="B171" s="149"/>
      <c r="C171" s="31"/>
      <c r="D171" s="32"/>
      <c r="E171" s="33"/>
      <c r="F171" s="48"/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57"/>
      <c r="S171" s="225"/>
      <c r="T171" s="231"/>
      <c r="U171" s="225"/>
      <c r="V171" s="225"/>
      <c r="W171" s="231"/>
      <c r="X171" s="231"/>
    </row>
    <row r="172" spans="1:24" ht="13.8" thickBot="1" x14ac:dyDescent="0.3">
      <c r="A172" s="99"/>
      <c r="B172" s="146" t="s">
        <v>124</v>
      </c>
      <c r="C172" s="118"/>
      <c r="D172" s="122"/>
      <c r="E172" s="123"/>
      <c r="F172" s="50">
        <f>SUM(F103+F109+F115+F121+F127+F133+F139+F153+F159+F165)</f>
        <v>241200</v>
      </c>
      <c r="G172" s="50">
        <f>SUM(G103+G109+G115+G121+G127+G133+G139+G153+G159+G165)</f>
        <v>241200</v>
      </c>
      <c r="H172" s="244"/>
      <c r="I172" s="244"/>
      <c r="J172" s="244"/>
      <c r="K172" s="244"/>
      <c r="L172" s="244"/>
      <c r="M172" s="244"/>
      <c r="N172" s="244"/>
      <c r="O172" s="244"/>
      <c r="P172" s="244"/>
      <c r="Q172" s="253"/>
      <c r="R172" s="263"/>
      <c r="S172" s="237">
        <f t="shared" si="8"/>
        <v>-241200</v>
      </c>
      <c r="T172" s="238">
        <f t="shared" si="9"/>
        <v>-1</v>
      </c>
      <c r="U172" s="237">
        <f t="shared" si="10"/>
        <v>0</v>
      </c>
      <c r="V172" s="237">
        <f t="shared" si="11"/>
        <v>-241200</v>
      </c>
      <c r="W172" s="238">
        <f t="shared" si="12"/>
        <v>-1</v>
      </c>
      <c r="X172" s="238"/>
    </row>
    <row r="173" spans="1:24" ht="13.8" thickTop="1" x14ac:dyDescent="0.25">
      <c r="C173" s="80"/>
      <c r="D173" s="71"/>
      <c r="E173" s="72"/>
      <c r="G173" s="48"/>
      <c r="H173" s="245"/>
      <c r="I173" s="245"/>
      <c r="J173" s="245"/>
      <c r="K173" s="245"/>
      <c r="L173" s="245"/>
      <c r="M173" s="245"/>
      <c r="N173" s="245"/>
      <c r="O173" s="245"/>
      <c r="P173" s="245"/>
      <c r="Q173" s="254"/>
      <c r="R173" s="261"/>
      <c r="S173" s="225"/>
      <c r="T173" s="231"/>
      <c r="U173" s="225"/>
      <c r="V173" s="225"/>
      <c r="W173" s="231"/>
      <c r="X173" s="231"/>
    </row>
    <row r="174" spans="1:24" x14ac:dyDescent="0.25">
      <c r="A174" s="125">
        <v>3</v>
      </c>
      <c r="B174" s="126" t="s">
        <v>127</v>
      </c>
      <c r="C174" s="130"/>
      <c r="D174" s="129"/>
      <c r="E174" s="131"/>
      <c r="F174" s="131"/>
      <c r="G174" s="147"/>
      <c r="H174" s="241"/>
      <c r="I174" s="241"/>
      <c r="J174" s="241"/>
      <c r="K174" s="241"/>
      <c r="L174" s="241"/>
      <c r="M174" s="241"/>
      <c r="N174" s="241"/>
      <c r="O174" s="241"/>
      <c r="P174" s="241"/>
      <c r="Q174" s="252"/>
      <c r="R174" s="260"/>
      <c r="S174" s="230"/>
      <c r="T174" s="232"/>
      <c r="U174" s="230"/>
      <c r="V174" s="230"/>
      <c r="W174" s="232"/>
      <c r="X174" s="232"/>
    </row>
    <row r="175" spans="1:24" hidden="1" x14ac:dyDescent="0.25">
      <c r="A175" s="157" t="s">
        <v>132</v>
      </c>
      <c r="B175" s="140" t="s">
        <v>110</v>
      </c>
      <c r="C175" s="21"/>
      <c r="D175" s="25"/>
      <c r="E175" s="18"/>
      <c r="F175" s="3">
        <f>D175*E175</f>
        <v>0</v>
      </c>
      <c r="G175" s="51">
        <f>F175*C4</f>
        <v>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8"/>
        <v>0</v>
      </c>
      <c r="T175" s="231">
        <f t="shared" si="9"/>
        <v>0</v>
      </c>
      <c r="U175" s="225">
        <f t="shared" si="10"/>
        <v>0</v>
      </c>
      <c r="V175" s="225">
        <f t="shared" si="11"/>
        <v>0</v>
      </c>
      <c r="W175" s="231">
        <f t="shared" si="12"/>
        <v>0</v>
      </c>
      <c r="X175" s="231"/>
    </row>
    <row r="176" spans="1:24" x14ac:dyDescent="0.25">
      <c r="A176" s="157" t="s">
        <v>133</v>
      </c>
      <c r="B176" s="140" t="s">
        <v>48</v>
      </c>
      <c r="C176" s="21" t="s">
        <v>443</v>
      </c>
      <c r="D176" s="25">
        <v>1</v>
      </c>
      <c r="E176" s="18">
        <v>1000</v>
      </c>
      <c r="F176" s="3">
        <f t="shared" ref="F176:F182" si="13">D176*E176</f>
        <v>1000</v>
      </c>
      <c r="G176" s="51">
        <f>F176*C4</f>
        <v>1000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>
        <f t="shared" si="8"/>
        <v>-1000</v>
      </c>
      <c r="T176" s="231">
        <f t="shared" si="9"/>
        <v>-1</v>
      </c>
      <c r="U176" s="225">
        <f t="shared" si="10"/>
        <v>0</v>
      </c>
      <c r="V176" s="225">
        <f t="shared" si="11"/>
        <v>-1000</v>
      </c>
      <c r="W176" s="231">
        <f t="shared" si="12"/>
        <v>-1</v>
      </c>
      <c r="X176" s="231"/>
    </row>
    <row r="177" spans="1:24" hidden="1" x14ac:dyDescent="0.25">
      <c r="A177" s="157" t="s">
        <v>134</v>
      </c>
      <c r="B177" s="140" t="s">
        <v>106</v>
      </c>
      <c r="C177" s="34"/>
      <c r="D177" s="35"/>
      <c r="E177" s="36"/>
      <c r="F177" s="3">
        <f t="shared" si="13"/>
        <v>0</v>
      </c>
      <c r="G177" s="51">
        <f>F177*C4</f>
        <v>0</v>
      </c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62"/>
      <c r="S177" s="225">
        <f t="shared" si="8"/>
        <v>0</v>
      </c>
      <c r="T177" s="231">
        <f t="shared" si="9"/>
        <v>0</v>
      </c>
      <c r="U177" s="225">
        <f t="shared" si="10"/>
        <v>0</v>
      </c>
      <c r="V177" s="225">
        <f t="shared" si="11"/>
        <v>0</v>
      </c>
      <c r="W177" s="231">
        <f t="shared" si="12"/>
        <v>0</v>
      </c>
      <c r="X177" s="231"/>
    </row>
    <row r="178" spans="1:24" x14ac:dyDescent="0.25">
      <c r="A178" s="157" t="s">
        <v>135</v>
      </c>
      <c r="B178" s="140" t="s">
        <v>140</v>
      </c>
      <c r="C178" s="287" t="s">
        <v>495</v>
      </c>
      <c r="D178" s="21">
        <v>2</v>
      </c>
      <c r="E178" s="25">
        <v>300</v>
      </c>
      <c r="F178" s="3">
        <f t="shared" si="13"/>
        <v>600</v>
      </c>
      <c r="G178" s="51">
        <f>F178*C4</f>
        <v>600</v>
      </c>
      <c r="H178" s="242"/>
      <c r="I178" s="242"/>
      <c r="J178" s="242"/>
      <c r="K178" s="242"/>
      <c r="L178" s="242"/>
      <c r="M178" s="242"/>
      <c r="N178" s="242"/>
      <c r="O178" s="242"/>
      <c r="P178" s="242"/>
      <c r="Q178" s="251"/>
      <c r="R178" s="262"/>
      <c r="S178" s="225">
        <f t="shared" si="8"/>
        <v>-600</v>
      </c>
      <c r="T178" s="231">
        <f t="shared" si="9"/>
        <v>-1</v>
      </c>
      <c r="U178" s="225">
        <f t="shared" si="10"/>
        <v>0</v>
      </c>
      <c r="V178" s="225">
        <f t="shared" si="11"/>
        <v>-600</v>
      </c>
      <c r="W178" s="231">
        <f t="shared" si="12"/>
        <v>-1</v>
      </c>
      <c r="X178" s="231"/>
    </row>
    <row r="179" spans="1:24" ht="15" customHeight="1" x14ac:dyDescent="0.25">
      <c r="A179" s="157" t="s">
        <v>136</v>
      </c>
      <c r="B179" s="157" t="s">
        <v>141</v>
      </c>
      <c r="C179" s="287" t="s">
        <v>436</v>
      </c>
      <c r="D179" s="21">
        <v>4</v>
      </c>
      <c r="E179" s="25">
        <v>100</v>
      </c>
      <c r="F179" s="3">
        <f t="shared" si="13"/>
        <v>400</v>
      </c>
      <c r="G179" s="51">
        <f>F179*C4</f>
        <v>400</v>
      </c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62"/>
      <c r="S179" s="225">
        <f t="shared" si="8"/>
        <v>-400</v>
      </c>
      <c r="T179" s="231">
        <f t="shared" si="9"/>
        <v>-1</v>
      </c>
      <c r="U179" s="225">
        <f t="shared" si="10"/>
        <v>0</v>
      </c>
      <c r="V179" s="225">
        <f t="shared" si="11"/>
        <v>-400</v>
      </c>
      <c r="W179" s="231">
        <f t="shared" si="12"/>
        <v>-1</v>
      </c>
      <c r="X179" s="231"/>
    </row>
    <row r="180" spans="1:24" ht="15" hidden="1" customHeight="1" x14ac:dyDescent="0.25">
      <c r="A180" s="157" t="s">
        <v>137</v>
      </c>
      <c r="B180" s="140" t="s">
        <v>246</v>
      </c>
      <c r="C180" s="34"/>
      <c r="D180" s="35"/>
      <c r="E180" s="36"/>
      <c r="F180" s="3">
        <f>D180*E180</f>
        <v>0</v>
      </c>
      <c r="G180" s="51">
        <f>F180*C4</f>
        <v>0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8"/>
        <v>0</v>
      </c>
      <c r="T180" s="231">
        <f t="shared" si="9"/>
        <v>0</v>
      </c>
      <c r="U180" s="225">
        <f t="shared" si="10"/>
        <v>0</v>
      </c>
      <c r="V180" s="225">
        <f t="shared" si="11"/>
        <v>0</v>
      </c>
      <c r="W180" s="231">
        <f t="shared" si="12"/>
        <v>0</v>
      </c>
      <c r="X180" s="231"/>
    </row>
    <row r="181" spans="1:24" x14ac:dyDescent="0.25">
      <c r="A181" s="157" t="s">
        <v>138</v>
      </c>
      <c r="B181" s="140" t="s">
        <v>139</v>
      </c>
      <c r="C181" s="287" t="s">
        <v>496</v>
      </c>
      <c r="D181" s="21">
        <v>4</v>
      </c>
      <c r="E181" s="25">
        <v>1200</v>
      </c>
      <c r="F181" s="3">
        <f t="shared" si="13"/>
        <v>4800</v>
      </c>
      <c r="G181" s="51">
        <f>F181*C4</f>
        <v>4800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8"/>
        <v>-4800</v>
      </c>
      <c r="T181" s="231">
        <f t="shared" si="9"/>
        <v>-1</v>
      </c>
      <c r="U181" s="225">
        <f t="shared" si="10"/>
        <v>0</v>
      </c>
      <c r="V181" s="225">
        <f t="shared" si="11"/>
        <v>-4800</v>
      </c>
      <c r="W181" s="231">
        <f t="shared" si="12"/>
        <v>-1</v>
      </c>
      <c r="X181" s="231"/>
    </row>
    <row r="182" spans="1:24" x14ac:dyDescent="0.25">
      <c r="A182" s="157" t="s">
        <v>245</v>
      </c>
      <c r="B182" s="140" t="s">
        <v>165</v>
      </c>
      <c r="C182" s="287" t="s">
        <v>497</v>
      </c>
      <c r="D182" s="21">
        <v>1</v>
      </c>
      <c r="E182" s="25">
        <v>2800</v>
      </c>
      <c r="F182" s="3">
        <f t="shared" si="13"/>
        <v>2800</v>
      </c>
      <c r="G182" s="51">
        <f>F182*C4</f>
        <v>2800</v>
      </c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62"/>
      <c r="S182" s="225">
        <f t="shared" si="8"/>
        <v>-2800</v>
      </c>
      <c r="T182" s="231">
        <f t="shared" si="9"/>
        <v>-1</v>
      </c>
      <c r="U182" s="225">
        <f t="shared" si="10"/>
        <v>0</v>
      </c>
      <c r="V182" s="225">
        <f t="shared" si="11"/>
        <v>-2800</v>
      </c>
      <c r="W182" s="231">
        <f t="shared" si="12"/>
        <v>-1</v>
      </c>
      <c r="X182" s="231"/>
    </row>
    <row r="183" spans="1:24" x14ac:dyDescent="0.25">
      <c r="B183" s="109"/>
      <c r="C183" s="9"/>
      <c r="D183" s="6"/>
      <c r="E183" s="7"/>
      <c r="G183" s="48"/>
      <c r="H183" s="245"/>
      <c r="I183" s="245"/>
      <c r="J183" s="245"/>
      <c r="K183" s="245"/>
      <c r="L183" s="245"/>
      <c r="M183" s="245"/>
      <c r="N183" s="245"/>
      <c r="O183" s="245"/>
      <c r="P183" s="245"/>
      <c r="Q183" s="254"/>
      <c r="R183" s="261"/>
      <c r="S183" s="225"/>
      <c r="T183" s="231"/>
      <c r="U183" s="225"/>
      <c r="V183" s="225"/>
      <c r="W183" s="231"/>
      <c r="X183" s="231"/>
    </row>
    <row r="184" spans="1:24" ht="13.8" thickBot="1" x14ac:dyDescent="0.3">
      <c r="A184" s="99"/>
      <c r="B184" s="146" t="s">
        <v>108</v>
      </c>
      <c r="C184" s="118"/>
      <c r="D184" s="122"/>
      <c r="E184" s="123"/>
      <c r="F184" s="50">
        <f>SUM(F175:F182)</f>
        <v>9600</v>
      </c>
      <c r="G184" s="50">
        <f>SUM(G175:G182)</f>
        <v>9600</v>
      </c>
      <c r="H184" s="244"/>
      <c r="I184" s="244"/>
      <c r="J184" s="244"/>
      <c r="K184" s="244"/>
      <c r="L184" s="244"/>
      <c r="M184" s="244"/>
      <c r="N184" s="244"/>
      <c r="O184" s="244"/>
      <c r="P184" s="244"/>
      <c r="Q184" s="253"/>
      <c r="R184" s="263"/>
      <c r="S184" s="237">
        <f t="shared" si="8"/>
        <v>-9600</v>
      </c>
      <c r="T184" s="238">
        <f t="shared" si="9"/>
        <v>-1</v>
      </c>
      <c r="U184" s="237">
        <f t="shared" si="10"/>
        <v>0</v>
      </c>
      <c r="V184" s="237">
        <f t="shared" si="11"/>
        <v>-9600</v>
      </c>
      <c r="W184" s="238">
        <f t="shared" si="12"/>
        <v>-1</v>
      </c>
      <c r="X184" s="238"/>
    </row>
    <row r="185" spans="1:24" ht="13.8" thickTop="1" x14ac:dyDescent="0.25">
      <c r="B185" s="77"/>
      <c r="C185" s="162"/>
      <c r="D185" s="161"/>
      <c r="E185" s="7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x14ac:dyDescent="0.25">
      <c r="A186" s="125">
        <v>4</v>
      </c>
      <c r="B186" s="126" t="s">
        <v>107</v>
      </c>
      <c r="C186" s="130"/>
      <c r="D186" s="129"/>
      <c r="E186" s="131"/>
      <c r="F186" s="131"/>
      <c r="G186" s="147"/>
      <c r="H186" s="241"/>
      <c r="I186" s="241"/>
      <c r="J186" s="241"/>
      <c r="K186" s="241"/>
      <c r="L186" s="241"/>
      <c r="M186" s="241"/>
      <c r="N186" s="241"/>
      <c r="O186" s="241"/>
      <c r="P186" s="241"/>
      <c r="Q186" s="252"/>
      <c r="R186" s="260"/>
      <c r="S186" s="230"/>
      <c r="T186" s="232"/>
      <c r="U186" s="230"/>
      <c r="V186" s="230"/>
      <c r="W186" s="232"/>
      <c r="X186" s="232"/>
    </row>
    <row r="187" spans="1:24" hidden="1" x14ac:dyDescent="0.25">
      <c r="A187" s="70" t="s">
        <v>19</v>
      </c>
      <c r="B187" s="77"/>
      <c r="C187" s="162"/>
      <c r="D187" s="161"/>
      <c r="E187" s="74"/>
      <c r="F187" s="48"/>
      <c r="G187" s="1"/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57"/>
      <c r="S187" s="225"/>
      <c r="T187" s="231"/>
      <c r="U187" s="225"/>
      <c r="V187" s="225"/>
      <c r="W187" s="231"/>
      <c r="X187" s="231"/>
    </row>
    <row r="188" spans="1:24" hidden="1" x14ac:dyDescent="0.25">
      <c r="A188" s="77" t="s">
        <v>142</v>
      </c>
      <c r="B188" s="163" t="s">
        <v>44</v>
      </c>
      <c r="C188" s="21"/>
      <c r="D188" s="25"/>
      <c r="E188" s="18"/>
      <c r="F188" s="48">
        <f>D188*E188</f>
        <v>0</v>
      </c>
      <c r="G188" s="1">
        <f>F188*C4</f>
        <v>0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8"/>
        <v>0</v>
      </c>
      <c r="T188" s="231">
        <f t="shared" si="9"/>
        <v>0</v>
      </c>
      <c r="U188" s="225">
        <f t="shared" si="10"/>
        <v>0</v>
      </c>
      <c r="V188" s="225">
        <f t="shared" si="11"/>
        <v>0</v>
      </c>
      <c r="W188" s="231">
        <f t="shared" si="12"/>
        <v>0</v>
      </c>
      <c r="X188" s="231"/>
    </row>
    <row r="189" spans="1:24" hidden="1" x14ac:dyDescent="0.25">
      <c r="A189" s="77" t="s">
        <v>143</v>
      </c>
      <c r="B189" s="163" t="s">
        <v>45</v>
      </c>
      <c r="C189" s="21"/>
      <c r="D189" s="25"/>
      <c r="E189" s="18"/>
      <c r="F189" s="48">
        <f>D189*E189</f>
        <v>0</v>
      </c>
      <c r="G189" s="1">
        <f>F189*C4</f>
        <v>0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8"/>
        <v>0</v>
      </c>
      <c r="T189" s="231">
        <f t="shared" si="9"/>
        <v>0</v>
      </c>
      <c r="U189" s="225">
        <f t="shared" si="10"/>
        <v>0</v>
      </c>
      <c r="V189" s="225">
        <f t="shared" si="11"/>
        <v>0</v>
      </c>
      <c r="W189" s="231">
        <f t="shared" si="12"/>
        <v>0</v>
      </c>
      <c r="X189" s="231"/>
    </row>
    <row r="190" spans="1:24" hidden="1" x14ac:dyDescent="0.25">
      <c r="A190" s="70" t="s">
        <v>7</v>
      </c>
      <c r="B190" s="137"/>
      <c r="C190" s="22"/>
      <c r="D190" s="44"/>
      <c r="E190" s="14"/>
      <c r="F190" s="48"/>
      <c r="G190" s="1"/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57"/>
      <c r="S190" s="225"/>
      <c r="T190" s="231"/>
      <c r="U190" s="225"/>
      <c r="V190" s="225"/>
      <c r="W190" s="231"/>
      <c r="X190" s="231"/>
    </row>
    <row r="191" spans="1:24" hidden="1" x14ac:dyDescent="0.25">
      <c r="A191" s="77" t="s">
        <v>144</v>
      </c>
      <c r="B191" s="163" t="s">
        <v>46</v>
      </c>
      <c r="C191" s="35"/>
      <c r="D191" s="36"/>
      <c r="E191" s="39"/>
      <c r="F191" s="48">
        <f>D191*E191</f>
        <v>0</v>
      </c>
      <c r="G191" s="49">
        <f>F191*C4</f>
        <v>0</v>
      </c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62"/>
      <c r="S191" s="225">
        <f t="shared" si="8"/>
        <v>0</v>
      </c>
      <c r="T191" s="231">
        <f t="shared" si="9"/>
        <v>0</v>
      </c>
      <c r="U191" s="225">
        <f t="shared" si="10"/>
        <v>0</v>
      </c>
      <c r="V191" s="225">
        <f t="shared" si="11"/>
        <v>0</v>
      </c>
      <c r="W191" s="231">
        <f t="shared" si="12"/>
        <v>0</v>
      </c>
      <c r="X191" s="231"/>
    </row>
    <row r="192" spans="1:24" hidden="1" x14ac:dyDescent="0.25">
      <c r="A192" s="77" t="s">
        <v>145</v>
      </c>
      <c r="B192" s="137" t="s">
        <v>47</v>
      </c>
      <c r="C192" s="35"/>
      <c r="D192" s="36"/>
      <c r="E192" s="39"/>
      <c r="F192" s="48">
        <f>D192*E192</f>
        <v>0</v>
      </c>
      <c r="G192" s="49">
        <f>F192*C4</f>
        <v>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62"/>
      <c r="S192" s="225">
        <f t="shared" si="8"/>
        <v>0</v>
      </c>
      <c r="T192" s="231">
        <f t="shared" si="9"/>
        <v>0</v>
      </c>
      <c r="U192" s="225">
        <f t="shared" si="10"/>
        <v>0</v>
      </c>
      <c r="V192" s="225">
        <f t="shared" si="11"/>
        <v>0</v>
      </c>
      <c r="W192" s="231">
        <f t="shared" si="12"/>
        <v>0</v>
      </c>
      <c r="X192" s="231"/>
    </row>
    <row r="193" spans="1:24" hidden="1" x14ac:dyDescent="0.25">
      <c r="A193" s="70" t="s">
        <v>8</v>
      </c>
      <c r="B193" s="137"/>
      <c r="C193" s="52"/>
      <c r="D193" s="23"/>
      <c r="E193" s="24"/>
      <c r="F193" s="48"/>
      <c r="G193" s="1"/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57"/>
      <c r="S193" s="225"/>
      <c r="T193" s="231"/>
      <c r="U193" s="225"/>
      <c r="V193" s="225"/>
      <c r="W193" s="231"/>
      <c r="X193" s="231"/>
    </row>
    <row r="194" spans="1:24" hidden="1" x14ac:dyDescent="0.25">
      <c r="A194" s="77" t="s">
        <v>150</v>
      </c>
      <c r="B194" s="140" t="s">
        <v>181</v>
      </c>
      <c r="C194" s="35"/>
      <c r="D194" s="36"/>
      <c r="E194" s="39"/>
      <c r="F194" s="48">
        <f>D194*E194</f>
        <v>0</v>
      </c>
      <c r="G194" s="1">
        <f>F194*C4</f>
        <v>0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62"/>
      <c r="S194" s="225">
        <f t="shared" si="8"/>
        <v>0</v>
      </c>
      <c r="T194" s="231">
        <f t="shared" si="9"/>
        <v>0</v>
      </c>
      <c r="U194" s="225">
        <f t="shared" si="10"/>
        <v>0</v>
      </c>
      <c r="V194" s="225">
        <f t="shared" si="11"/>
        <v>0</v>
      </c>
      <c r="W194" s="231">
        <f t="shared" si="12"/>
        <v>0</v>
      </c>
      <c r="X194" s="231"/>
    </row>
    <row r="195" spans="1:24" hidden="1" x14ac:dyDescent="0.25">
      <c r="A195" s="77" t="s">
        <v>146</v>
      </c>
      <c r="B195" s="149" t="s">
        <v>50</v>
      </c>
      <c r="C195" s="35"/>
      <c r="D195" s="36"/>
      <c r="E195" s="39"/>
      <c r="F195" s="48">
        <f>D195*E195</f>
        <v>0</v>
      </c>
      <c r="G195" s="1">
        <f>F195*C4</f>
        <v>0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62"/>
      <c r="S195" s="225">
        <f t="shared" si="8"/>
        <v>0</v>
      </c>
      <c r="T195" s="231">
        <f t="shared" si="9"/>
        <v>0</v>
      </c>
      <c r="U195" s="225">
        <f t="shared" si="10"/>
        <v>0</v>
      </c>
      <c r="V195" s="225">
        <f t="shared" si="11"/>
        <v>0</v>
      </c>
      <c r="W195" s="231">
        <f t="shared" si="12"/>
        <v>0</v>
      </c>
      <c r="X195" s="231"/>
    </row>
    <row r="196" spans="1:24" hidden="1" x14ac:dyDescent="0.25">
      <c r="A196" s="77" t="s">
        <v>147</v>
      </c>
      <c r="B196" s="149" t="s">
        <v>51</v>
      </c>
      <c r="C196" s="35"/>
      <c r="D196" s="36"/>
      <c r="E196" s="37"/>
      <c r="F196" s="48">
        <f>D196*E196</f>
        <v>0</v>
      </c>
      <c r="G196" s="1">
        <f>F196*C4</f>
        <v>0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62"/>
      <c r="S196" s="225">
        <f t="shared" si="8"/>
        <v>0</v>
      </c>
      <c r="T196" s="231">
        <f t="shared" si="9"/>
        <v>0</v>
      </c>
      <c r="U196" s="225">
        <f t="shared" si="10"/>
        <v>0</v>
      </c>
      <c r="V196" s="225">
        <f t="shared" si="11"/>
        <v>0</v>
      </c>
      <c r="W196" s="231">
        <f t="shared" si="12"/>
        <v>0</v>
      </c>
      <c r="X196" s="231"/>
    </row>
    <row r="197" spans="1:24" hidden="1" x14ac:dyDescent="0.25">
      <c r="A197" s="77" t="s">
        <v>148</v>
      </c>
      <c r="B197" s="149" t="s">
        <v>125</v>
      </c>
      <c r="C197" s="35"/>
      <c r="D197" s="36"/>
      <c r="E197" s="38"/>
      <c r="F197" s="48">
        <f>D197*E197</f>
        <v>0</v>
      </c>
      <c r="G197" s="1">
        <f>F197*C4</f>
        <v>0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62"/>
      <c r="S197" s="225">
        <f t="shared" si="8"/>
        <v>0</v>
      </c>
      <c r="T197" s="231">
        <f t="shared" si="9"/>
        <v>0</v>
      </c>
      <c r="U197" s="225">
        <f t="shared" si="10"/>
        <v>0</v>
      </c>
      <c r="V197" s="225">
        <f t="shared" si="11"/>
        <v>0</v>
      </c>
      <c r="W197" s="231">
        <f t="shared" si="12"/>
        <v>0</v>
      </c>
      <c r="X197" s="231"/>
    </row>
    <row r="198" spans="1:24" hidden="1" x14ac:dyDescent="0.25">
      <c r="A198" s="77" t="s">
        <v>149</v>
      </c>
      <c r="B198" s="149" t="s">
        <v>126</v>
      </c>
      <c r="C198" s="35"/>
      <c r="D198" s="36"/>
      <c r="E198" s="38"/>
      <c r="F198" s="48">
        <f>D198*E198</f>
        <v>0</v>
      </c>
      <c r="G198" s="1">
        <f>F198*C4</f>
        <v>0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8"/>
        <v>0</v>
      </c>
      <c r="T198" s="231">
        <f t="shared" si="9"/>
        <v>0</v>
      </c>
      <c r="U198" s="225">
        <f t="shared" si="10"/>
        <v>0</v>
      </c>
      <c r="V198" s="225">
        <f t="shared" si="11"/>
        <v>0</v>
      </c>
      <c r="W198" s="231">
        <f t="shared" si="12"/>
        <v>0</v>
      </c>
      <c r="X198" s="231"/>
    </row>
    <row r="199" spans="1:24" x14ac:dyDescent="0.25">
      <c r="C199" s="5"/>
      <c r="D199" s="5"/>
      <c r="E199" s="5"/>
      <c r="F199" s="168"/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57"/>
      <c r="S199" s="225"/>
      <c r="T199" s="231"/>
      <c r="U199" s="225"/>
      <c r="V199" s="225"/>
      <c r="W199" s="231"/>
      <c r="X199" s="231"/>
    </row>
    <row r="200" spans="1:24" hidden="1" x14ac:dyDescent="0.25">
      <c r="A200" s="200"/>
      <c r="B200" s="201" t="s">
        <v>188</v>
      </c>
      <c r="C200" s="201"/>
      <c r="D200" s="201"/>
      <c r="E200" s="201"/>
      <c r="F200" s="202">
        <f>SUM(F188:F190)</f>
        <v>0</v>
      </c>
      <c r="G200" s="201">
        <f>SUM(G188:G190)</f>
        <v>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57"/>
      <c r="S200" s="225">
        <f t="shared" si="8"/>
        <v>0</v>
      </c>
      <c r="T200" s="231">
        <f t="shared" si="9"/>
        <v>0</v>
      </c>
      <c r="U200" s="225">
        <f t="shared" si="10"/>
        <v>0</v>
      </c>
      <c r="V200" s="225">
        <f t="shared" si="11"/>
        <v>0</v>
      </c>
      <c r="W200" s="231">
        <f t="shared" si="12"/>
        <v>0</v>
      </c>
      <c r="X200" s="231"/>
    </row>
    <row r="201" spans="1:24" hidden="1" x14ac:dyDescent="0.25">
      <c r="A201" s="200"/>
      <c r="B201" s="201" t="s">
        <v>7</v>
      </c>
      <c r="C201" s="201"/>
      <c r="D201" s="201"/>
      <c r="E201" s="201"/>
      <c r="F201" s="202">
        <f>SUM(F191:F193)</f>
        <v>0</v>
      </c>
      <c r="G201" s="201">
        <f>SUM(G191:G193)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57"/>
      <c r="S201" s="225">
        <f t="shared" si="8"/>
        <v>0</v>
      </c>
      <c r="T201" s="231">
        <f t="shared" si="9"/>
        <v>0</v>
      </c>
      <c r="U201" s="225">
        <f t="shared" si="10"/>
        <v>0</v>
      </c>
      <c r="V201" s="225">
        <f t="shared" si="11"/>
        <v>0</v>
      </c>
      <c r="W201" s="231">
        <f t="shared" si="12"/>
        <v>0</v>
      </c>
      <c r="X201" s="231"/>
    </row>
    <row r="202" spans="1:24" hidden="1" x14ac:dyDescent="0.25">
      <c r="A202" s="200"/>
      <c r="B202" s="201" t="s">
        <v>8</v>
      </c>
      <c r="C202" s="201"/>
      <c r="D202" s="201"/>
      <c r="E202" s="201"/>
      <c r="F202" s="202">
        <f>SUM(F194:F199)</f>
        <v>0</v>
      </c>
      <c r="G202" s="201">
        <f>SUM(G194:G199)</f>
        <v>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57"/>
      <c r="S202" s="225">
        <f t="shared" si="8"/>
        <v>0</v>
      </c>
      <c r="T202" s="231">
        <f t="shared" si="9"/>
        <v>0</v>
      </c>
      <c r="U202" s="225">
        <f t="shared" si="10"/>
        <v>0</v>
      </c>
      <c r="V202" s="225">
        <f t="shared" si="11"/>
        <v>0</v>
      </c>
      <c r="W202" s="231">
        <f t="shared" si="12"/>
        <v>0</v>
      </c>
      <c r="X202" s="231"/>
    </row>
    <row r="203" spans="1:24" ht="13.8" thickBot="1" x14ac:dyDescent="0.3">
      <c r="A203" s="99"/>
      <c r="B203" s="146" t="s">
        <v>109</v>
      </c>
      <c r="C203" s="118"/>
      <c r="D203" s="122"/>
      <c r="E203" s="123"/>
      <c r="F203" s="50">
        <f>SUM(F188+F189+F191+F192+F194+F195+F196+F197+F198)</f>
        <v>0</v>
      </c>
      <c r="G203" s="50">
        <f>SUM(G188+G189+G191+G192+G194+G196+G195+G197+G198)</f>
        <v>0</v>
      </c>
      <c r="H203" s="244"/>
      <c r="I203" s="244"/>
      <c r="J203" s="244"/>
      <c r="K203" s="244"/>
      <c r="L203" s="244"/>
      <c r="M203" s="244"/>
      <c r="N203" s="244"/>
      <c r="O203" s="244"/>
      <c r="P203" s="244"/>
      <c r="Q203" s="253"/>
      <c r="R203" s="263"/>
      <c r="S203" s="237">
        <f t="shared" si="8"/>
        <v>0</v>
      </c>
      <c r="T203" s="238">
        <f t="shared" si="9"/>
        <v>0</v>
      </c>
      <c r="U203" s="237">
        <f t="shared" si="10"/>
        <v>0</v>
      </c>
      <c r="V203" s="237">
        <f t="shared" si="11"/>
        <v>0</v>
      </c>
      <c r="W203" s="238">
        <f t="shared" si="12"/>
        <v>0</v>
      </c>
      <c r="X203" s="238"/>
    </row>
    <row r="204" spans="1:24" ht="13.8" thickTop="1" x14ac:dyDescent="0.25">
      <c r="A204" s="99"/>
      <c r="B204" s="146"/>
      <c r="C204" s="118"/>
      <c r="D204" s="122"/>
      <c r="E204" s="123"/>
      <c r="F204" s="169"/>
      <c r="G204" s="169"/>
      <c r="H204" s="244"/>
      <c r="I204" s="244"/>
      <c r="J204" s="244"/>
      <c r="K204" s="244"/>
      <c r="L204" s="244"/>
      <c r="M204" s="244"/>
      <c r="N204" s="244"/>
      <c r="O204" s="244"/>
      <c r="P204" s="244"/>
      <c r="Q204" s="253"/>
      <c r="R204" s="259"/>
      <c r="S204" s="225"/>
      <c r="T204" s="231"/>
      <c r="U204" s="225"/>
      <c r="V204" s="225"/>
      <c r="W204" s="231"/>
      <c r="X204" s="231"/>
    </row>
    <row r="205" spans="1:24" x14ac:dyDescent="0.25">
      <c r="A205" s="125">
        <v>5</v>
      </c>
      <c r="B205" s="126" t="s">
        <v>111</v>
      </c>
      <c r="C205" s="130"/>
      <c r="D205" s="129"/>
      <c r="E205" s="131"/>
      <c r="F205" s="131"/>
      <c r="G205" s="147"/>
      <c r="H205" s="241"/>
      <c r="I205" s="241"/>
      <c r="J205" s="241"/>
      <c r="K205" s="241"/>
      <c r="L205" s="241"/>
      <c r="M205" s="241"/>
      <c r="N205" s="241"/>
      <c r="O205" s="241"/>
      <c r="P205" s="241"/>
      <c r="Q205" s="252"/>
      <c r="R205" s="260"/>
      <c r="S205" s="230"/>
      <c r="T205" s="232"/>
      <c r="U205" s="230"/>
      <c r="V205" s="230"/>
      <c r="W205" s="232"/>
      <c r="X205" s="232"/>
    </row>
    <row r="206" spans="1:24" x14ac:dyDescent="0.25">
      <c r="A206" s="77" t="s">
        <v>151</v>
      </c>
      <c r="B206" s="163" t="s">
        <v>11</v>
      </c>
      <c r="C206" s="21" t="s">
        <v>450</v>
      </c>
      <c r="D206" s="25">
        <v>3</v>
      </c>
      <c r="E206" s="18">
        <v>400</v>
      </c>
      <c r="F206" s="48">
        <f>D206*E206</f>
        <v>1200</v>
      </c>
      <c r="G206" s="49">
        <f>F206*C4</f>
        <v>1200</v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62"/>
      <c r="S206" s="225">
        <f t="shared" si="8"/>
        <v>-1200</v>
      </c>
      <c r="T206" s="231">
        <f t="shared" si="9"/>
        <v>-1</v>
      </c>
      <c r="U206" s="225">
        <f t="shared" si="10"/>
        <v>0</v>
      </c>
      <c r="V206" s="225">
        <f t="shared" si="11"/>
        <v>-1200</v>
      </c>
      <c r="W206" s="231">
        <f t="shared" si="12"/>
        <v>-1</v>
      </c>
      <c r="X206" s="231"/>
    </row>
    <row r="207" spans="1:24" x14ac:dyDescent="0.25">
      <c r="A207" s="77" t="s">
        <v>152</v>
      </c>
      <c r="B207" s="163" t="s">
        <v>12</v>
      </c>
      <c r="C207" s="21" t="s">
        <v>451</v>
      </c>
      <c r="D207" s="25">
        <v>1</v>
      </c>
      <c r="E207" s="18">
        <v>400</v>
      </c>
      <c r="F207" s="48">
        <f>D207*E207</f>
        <v>400</v>
      </c>
      <c r="G207" s="49">
        <f>F207*C4</f>
        <v>400</v>
      </c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62"/>
      <c r="S207" s="225">
        <f t="shared" si="8"/>
        <v>-400</v>
      </c>
      <c r="T207" s="231">
        <f t="shared" si="9"/>
        <v>-1</v>
      </c>
      <c r="U207" s="225">
        <f t="shared" si="10"/>
        <v>0</v>
      </c>
      <c r="V207" s="225">
        <f t="shared" si="11"/>
        <v>-400</v>
      </c>
      <c r="W207" s="231">
        <f t="shared" si="12"/>
        <v>-1</v>
      </c>
      <c r="X207" s="231"/>
    </row>
    <row r="208" spans="1:24" x14ac:dyDescent="0.25">
      <c r="A208" s="77" t="s">
        <v>153</v>
      </c>
      <c r="B208" s="163" t="s">
        <v>13</v>
      </c>
      <c r="C208" s="21" t="s">
        <v>436</v>
      </c>
      <c r="D208" s="18">
        <v>1</v>
      </c>
      <c r="E208" s="18">
        <v>1000</v>
      </c>
      <c r="F208" s="48">
        <f>D208*E208</f>
        <v>1000</v>
      </c>
      <c r="G208" s="49">
        <f>F208*C4</f>
        <v>1000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62"/>
      <c r="S208" s="225">
        <f t="shared" si="8"/>
        <v>-1000</v>
      </c>
      <c r="T208" s="231">
        <f t="shared" si="9"/>
        <v>-1</v>
      </c>
      <c r="U208" s="225">
        <f t="shared" si="10"/>
        <v>0</v>
      </c>
      <c r="V208" s="225">
        <f t="shared" si="11"/>
        <v>-1000</v>
      </c>
      <c r="W208" s="231">
        <f t="shared" si="12"/>
        <v>-1</v>
      </c>
      <c r="X208" s="231"/>
    </row>
    <row r="209" spans="1:24" hidden="1" x14ac:dyDescent="0.25">
      <c r="A209" s="77" t="s">
        <v>154</v>
      </c>
      <c r="B209" s="163" t="s">
        <v>14</v>
      </c>
      <c r="C209" s="21"/>
      <c r="D209" s="21"/>
      <c r="E209" s="21"/>
      <c r="F209" s="48">
        <f>D209*E209</f>
        <v>0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8"/>
        <v>0</v>
      </c>
      <c r="T209" s="231">
        <f t="shared" si="9"/>
        <v>0</v>
      </c>
      <c r="U209" s="225">
        <f t="shared" si="10"/>
        <v>0</v>
      </c>
      <c r="V209" s="225">
        <f t="shared" si="11"/>
        <v>0</v>
      </c>
      <c r="W209" s="231">
        <f t="shared" si="12"/>
        <v>0</v>
      </c>
      <c r="X209" s="231"/>
    </row>
    <row r="210" spans="1:24" ht="39.6" x14ac:dyDescent="0.25">
      <c r="A210" s="77" t="s">
        <v>155</v>
      </c>
      <c r="B210" s="163" t="s">
        <v>56</v>
      </c>
      <c r="C210" s="21" t="s">
        <v>436</v>
      </c>
      <c r="D210" s="18">
        <v>1</v>
      </c>
      <c r="E210" s="18">
        <v>500</v>
      </c>
      <c r="F210" s="48">
        <f>D210*E210</f>
        <v>500</v>
      </c>
      <c r="G210" s="49">
        <f>F210*C4</f>
        <v>500</v>
      </c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62"/>
      <c r="S210" s="225">
        <f t="shared" si="8"/>
        <v>-500</v>
      </c>
      <c r="T210" s="231">
        <f t="shared" si="9"/>
        <v>-1</v>
      </c>
      <c r="U210" s="225">
        <f t="shared" si="10"/>
        <v>0</v>
      </c>
      <c r="V210" s="225">
        <f t="shared" si="11"/>
        <v>-500</v>
      </c>
      <c r="W210" s="231">
        <f t="shared" si="12"/>
        <v>-1</v>
      </c>
      <c r="X210" s="231"/>
    </row>
    <row r="211" spans="1:24" x14ac:dyDescent="0.25">
      <c r="B211" s="163"/>
      <c r="C211" s="6"/>
      <c r="D211" s="7"/>
      <c r="E211" s="8"/>
      <c r="F211" s="48"/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57"/>
      <c r="S211" s="225"/>
      <c r="T211" s="231"/>
      <c r="U211" s="225"/>
      <c r="V211" s="225"/>
      <c r="W211" s="231"/>
      <c r="X211" s="231"/>
    </row>
    <row r="212" spans="1:24" ht="13.8" thickBot="1" x14ac:dyDescent="0.3">
      <c r="A212" s="99"/>
      <c r="B212" s="146" t="s">
        <v>112</v>
      </c>
      <c r="C212" s="118"/>
      <c r="D212" s="122"/>
      <c r="E212" s="123"/>
      <c r="F212" s="50">
        <f>SUM(F206:F210)</f>
        <v>3100</v>
      </c>
      <c r="G212" s="50">
        <f>SUM(G206:G210)</f>
        <v>3100</v>
      </c>
      <c r="H212" s="244"/>
      <c r="I212" s="244"/>
      <c r="J212" s="244"/>
      <c r="K212" s="244"/>
      <c r="L212" s="244"/>
      <c r="M212" s="244"/>
      <c r="N212" s="244"/>
      <c r="O212" s="244"/>
      <c r="P212" s="244"/>
      <c r="Q212" s="253"/>
      <c r="R212" s="263"/>
      <c r="S212" s="237">
        <f t="shared" si="8"/>
        <v>-3100</v>
      </c>
      <c r="T212" s="238">
        <f t="shared" si="9"/>
        <v>-1</v>
      </c>
      <c r="U212" s="237">
        <f t="shared" si="10"/>
        <v>0</v>
      </c>
      <c r="V212" s="237">
        <f t="shared" si="11"/>
        <v>-3100</v>
      </c>
      <c r="W212" s="238">
        <f t="shared" si="12"/>
        <v>-1</v>
      </c>
      <c r="X212" s="238"/>
    </row>
    <row r="213" spans="1:24" ht="13.8" thickTop="1" x14ac:dyDescent="0.25">
      <c r="B213" s="163"/>
      <c r="F213" s="48"/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57"/>
      <c r="S213" s="225"/>
      <c r="T213" s="231"/>
      <c r="U213" s="225"/>
      <c r="V213" s="225"/>
      <c r="W213" s="231"/>
      <c r="X213" s="231"/>
    </row>
    <row r="214" spans="1:24" x14ac:dyDescent="0.25">
      <c r="A214" s="125">
        <v>6</v>
      </c>
      <c r="B214" s="126" t="s">
        <v>113</v>
      </c>
      <c r="C214" s="130"/>
      <c r="D214" s="129"/>
      <c r="E214" s="131"/>
      <c r="F214" s="131"/>
      <c r="G214" s="147"/>
      <c r="H214" s="241"/>
      <c r="I214" s="241"/>
      <c r="J214" s="241"/>
      <c r="K214" s="241"/>
      <c r="L214" s="241"/>
      <c r="M214" s="241"/>
      <c r="N214" s="241"/>
      <c r="O214" s="241"/>
      <c r="P214" s="241"/>
      <c r="Q214" s="252"/>
      <c r="R214" s="260"/>
      <c r="S214" s="230"/>
      <c r="T214" s="232"/>
      <c r="U214" s="230"/>
      <c r="V214" s="230"/>
      <c r="W214" s="232"/>
      <c r="X214" s="232"/>
    </row>
    <row r="215" spans="1:24" x14ac:dyDescent="0.25">
      <c r="A215" s="99" t="s">
        <v>114</v>
      </c>
      <c r="B215" s="99" t="s">
        <v>71</v>
      </c>
      <c r="C215" s="2"/>
      <c r="D215" s="142"/>
      <c r="E215" s="143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hidden="1" x14ac:dyDescent="0.25">
      <c r="A216" s="109" t="s">
        <v>115</v>
      </c>
      <c r="B216" s="170" t="s">
        <v>72</v>
      </c>
      <c r="C216" s="35"/>
      <c r="D216" s="36"/>
      <c r="E216" s="39"/>
      <c r="F216" s="3">
        <f>D216*E216</f>
        <v>0</v>
      </c>
      <c r="G216" s="53">
        <f>F216*C4</f>
        <v>0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 t="shared" si="8"/>
        <v>0</v>
      </c>
      <c r="T216" s="231">
        <f t="shared" si="9"/>
        <v>0</v>
      </c>
      <c r="U216" s="225">
        <f t="shared" si="10"/>
        <v>0</v>
      </c>
      <c r="V216" s="225">
        <f t="shared" si="11"/>
        <v>0</v>
      </c>
      <c r="W216" s="231">
        <f t="shared" si="12"/>
        <v>0</v>
      </c>
      <c r="X216" s="231"/>
    </row>
    <row r="217" spans="1:24" hidden="1" x14ac:dyDescent="0.25">
      <c r="A217" s="109" t="s">
        <v>116</v>
      </c>
      <c r="B217" s="170" t="s">
        <v>73</v>
      </c>
      <c r="C217" s="35"/>
      <c r="D217" s="36"/>
      <c r="E217" s="39"/>
      <c r="F217" s="3">
        <f>D217*E217</f>
        <v>0</v>
      </c>
      <c r="G217" s="53">
        <f>F217*C4</f>
        <v>0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 t="shared" si="8"/>
        <v>0</v>
      </c>
      <c r="T217" s="231">
        <f t="shared" si="9"/>
        <v>0</v>
      </c>
      <c r="U217" s="225">
        <f t="shared" si="10"/>
        <v>0</v>
      </c>
      <c r="V217" s="225">
        <f t="shared" si="11"/>
        <v>0</v>
      </c>
      <c r="W217" s="231">
        <f t="shared" si="12"/>
        <v>0</v>
      </c>
      <c r="X217" s="231"/>
    </row>
    <row r="218" spans="1:24" x14ac:dyDescent="0.25">
      <c r="A218" s="109" t="s">
        <v>117</v>
      </c>
      <c r="B218" s="170" t="s">
        <v>498</v>
      </c>
      <c r="C218" s="21" t="s">
        <v>499</v>
      </c>
      <c r="D218" s="25">
        <v>1</v>
      </c>
      <c r="E218" s="18">
        <v>3500</v>
      </c>
      <c r="F218" s="3">
        <f>D218*E218</f>
        <v>3500</v>
      </c>
      <c r="G218" s="53">
        <f>F218*C4</f>
        <v>3500</v>
      </c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62"/>
      <c r="S218" s="225">
        <f t="shared" si="8"/>
        <v>-3500</v>
      </c>
      <c r="T218" s="231">
        <f t="shared" si="9"/>
        <v>-1</v>
      </c>
      <c r="U218" s="225">
        <f t="shared" si="10"/>
        <v>0</v>
      </c>
      <c r="V218" s="225">
        <f t="shared" si="11"/>
        <v>-3500</v>
      </c>
      <c r="W218" s="231">
        <f t="shared" si="12"/>
        <v>-1</v>
      </c>
      <c r="X218" s="231"/>
    </row>
    <row r="219" spans="1:24" hidden="1" x14ac:dyDescent="0.25">
      <c r="A219" s="109" t="s">
        <v>118</v>
      </c>
      <c r="B219" s="170" t="s">
        <v>75</v>
      </c>
      <c r="C219" s="35"/>
      <c r="D219" s="36"/>
      <c r="E219" s="39"/>
      <c r="F219" s="3">
        <f>D219*E219</f>
        <v>0</v>
      </c>
      <c r="G219" s="53">
        <f>F219*C4</f>
        <v>0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>R219-F219</f>
        <v>0</v>
      </c>
      <c r="T219" s="231">
        <f>IF(F219=0,0,S219/F219)</f>
        <v>0</v>
      </c>
      <c r="U219" s="225">
        <f>R219*$C$4</f>
        <v>0</v>
      </c>
      <c r="V219" s="225">
        <f>U219-G219</f>
        <v>0</v>
      </c>
      <c r="W219" s="231">
        <f>IF(G219=0,0,V219/G219)</f>
        <v>0</v>
      </c>
      <c r="X219" s="231"/>
    </row>
    <row r="220" spans="1:24" x14ac:dyDescent="0.25">
      <c r="A220" s="99"/>
      <c r="B220" s="170"/>
      <c r="C220" s="40"/>
      <c r="D220" s="41"/>
      <c r="E220" s="42"/>
      <c r="F220" s="3"/>
      <c r="G220" s="53"/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56"/>
      <c r="S220" s="225"/>
      <c r="T220" s="231"/>
      <c r="U220" s="225"/>
      <c r="V220" s="225"/>
      <c r="W220" s="231"/>
      <c r="X220" s="231"/>
    </row>
    <row r="221" spans="1:24" ht="13.8" thickBot="1" x14ac:dyDescent="0.3">
      <c r="A221" s="99"/>
      <c r="B221" s="146" t="s">
        <v>76</v>
      </c>
      <c r="C221" s="172"/>
      <c r="D221" s="171"/>
      <c r="E221" s="173"/>
      <c r="F221" s="50">
        <f>SUM(F216:F219)</f>
        <v>3500</v>
      </c>
      <c r="G221" s="50">
        <f>SUM(G216:G219)</f>
        <v>3500</v>
      </c>
      <c r="H221" s="244"/>
      <c r="I221" s="244"/>
      <c r="J221" s="244"/>
      <c r="K221" s="244"/>
      <c r="L221" s="244"/>
      <c r="M221" s="244"/>
      <c r="N221" s="244"/>
      <c r="O221" s="244"/>
      <c r="P221" s="244"/>
      <c r="Q221" s="253"/>
      <c r="R221" s="263"/>
      <c r="S221" s="237">
        <f>R221-F221</f>
        <v>-3500</v>
      </c>
      <c r="T221" s="238">
        <f>IF(F221=0,0,S221/F221)</f>
        <v>-1</v>
      </c>
      <c r="U221" s="237">
        <f>R221*$C$4</f>
        <v>0</v>
      </c>
      <c r="V221" s="237">
        <f>U221-G221</f>
        <v>-3500</v>
      </c>
      <c r="W221" s="238">
        <f>IF(G221=0,0,V221/G221)</f>
        <v>-1</v>
      </c>
      <c r="X221" s="238"/>
    </row>
    <row r="222" spans="1:24" ht="13.8" thickTop="1" x14ac:dyDescent="0.25">
      <c r="B222" s="174"/>
      <c r="F222" s="175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7"/>
      <c r="S222" s="225"/>
      <c r="T222" s="231"/>
      <c r="U222" s="225"/>
      <c r="V222" s="225"/>
      <c r="W222" s="231"/>
      <c r="X222" s="231"/>
    </row>
    <row r="223" spans="1:24" ht="15" customHeight="1" x14ac:dyDescent="0.25">
      <c r="A223" s="99" t="s">
        <v>119</v>
      </c>
      <c r="B223" s="99" t="s">
        <v>193</v>
      </c>
      <c r="C223" s="2"/>
      <c r="D223" s="142"/>
      <c r="E223" s="143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x14ac:dyDescent="0.25">
      <c r="A224" s="109" t="s">
        <v>120</v>
      </c>
      <c r="B224" s="170" t="s">
        <v>782</v>
      </c>
      <c r="C224" s="21" t="s">
        <v>427</v>
      </c>
      <c r="D224" s="25">
        <v>1</v>
      </c>
      <c r="E224" s="18">
        <v>1000</v>
      </c>
      <c r="F224" s="3">
        <f>D224*E224</f>
        <v>1000</v>
      </c>
      <c r="G224" s="53">
        <f>F224*C4</f>
        <v>1000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>R224-F224</f>
        <v>-1000</v>
      </c>
      <c r="T224" s="231">
        <f>IF(F224=0,0,S224/F224)</f>
        <v>-1</v>
      </c>
      <c r="U224" s="225">
        <f>R224*$C$4</f>
        <v>0</v>
      </c>
      <c r="V224" s="225">
        <f>U224-G224</f>
        <v>-1000</v>
      </c>
      <c r="W224" s="231">
        <f>IF(G224=0,0,V224/G224)</f>
        <v>-1</v>
      </c>
      <c r="X224" s="231"/>
    </row>
    <row r="225" spans="1:24" hidden="1" x14ac:dyDescent="0.25">
      <c r="A225" s="109" t="s">
        <v>121</v>
      </c>
      <c r="B225" s="170" t="s">
        <v>130</v>
      </c>
      <c r="C225" s="35"/>
      <c r="D225" s="36"/>
      <c r="E225" s="39"/>
      <c r="F225" s="3">
        <f>D225*E225</f>
        <v>0</v>
      </c>
      <c r="G225" s="53">
        <f>F225*C4</f>
        <v>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>R225-F225</f>
        <v>0</v>
      </c>
      <c r="T225" s="231">
        <f>IF(F225=0,0,S225/F225)</f>
        <v>0</v>
      </c>
      <c r="U225" s="225">
        <f>R225*$C$4</f>
        <v>0</v>
      </c>
      <c r="V225" s="225">
        <f>U225-G225</f>
        <v>0</v>
      </c>
      <c r="W225" s="231">
        <f>IF(G225=0,0,V225/G225)</f>
        <v>0</v>
      </c>
      <c r="X225" s="231"/>
    </row>
    <row r="226" spans="1:24" hidden="1" x14ac:dyDescent="0.25">
      <c r="A226" s="109" t="s">
        <v>122</v>
      </c>
      <c r="B226" s="170" t="s">
        <v>128</v>
      </c>
      <c r="C226" s="35"/>
      <c r="D226" s="36"/>
      <c r="E226" s="39"/>
      <c r="F226" s="3">
        <f>D226*E226</f>
        <v>0</v>
      </c>
      <c r="G226" s="53">
        <f>F226*C4</f>
        <v>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>R226-F226</f>
        <v>0</v>
      </c>
      <c r="T226" s="231">
        <f>IF(F226=0,0,S226/F226)</f>
        <v>0</v>
      </c>
      <c r="U226" s="225">
        <f>R226*$C$4</f>
        <v>0</v>
      </c>
      <c r="V226" s="225">
        <f>U226-G226</f>
        <v>0</v>
      </c>
      <c r="W226" s="231">
        <f>IF(G226=0,0,V226/G226)</f>
        <v>0</v>
      </c>
      <c r="X226" s="231"/>
    </row>
    <row r="227" spans="1:24" x14ac:dyDescent="0.25">
      <c r="A227" s="109" t="s">
        <v>123</v>
      </c>
      <c r="B227" s="170" t="s">
        <v>370</v>
      </c>
      <c r="C227" s="21"/>
      <c r="D227" s="25"/>
      <c r="E227" s="18"/>
      <c r="F227" s="3">
        <f>D227*E227</f>
        <v>0</v>
      </c>
      <c r="G227" s="53">
        <f>F227*C4</f>
        <v>0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>
        <f>R227-F227</f>
        <v>0</v>
      </c>
      <c r="T227" s="231">
        <f>IF(F227=0,0,S227/F227)</f>
        <v>0</v>
      </c>
      <c r="U227" s="225">
        <f>R227*$C$4</f>
        <v>0</v>
      </c>
      <c r="V227" s="225">
        <f>U227-G227</f>
        <v>0</v>
      </c>
      <c r="W227" s="231">
        <f>IF(G227=0,0,V227/G227)</f>
        <v>0</v>
      </c>
      <c r="X227" s="231"/>
    </row>
    <row r="228" spans="1:24" x14ac:dyDescent="0.25">
      <c r="A228" s="99"/>
      <c r="B228" s="174"/>
      <c r="C228" s="40"/>
      <c r="D228" s="41"/>
      <c r="E228" s="42"/>
      <c r="F228" s="3"/>
      <c r="G228" s="53"/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56"/>
      <c r="S228" s="225"/>
      <c r="T228" s="231"/>
      <c r="U228" s="225"/>
      <c r="V228" s="225"/>
      <c r="W228" s="231"/>
      <c r="X228" s="231"/>
    </row>
    <row r="229" spans="1:24" ht="13.8" thickBot="1" x14ac:dyDescent="0.3">
      <c r="A229" s="99"/>
      <c r="B229" s="146" t="s">
        <v>194</v>
      </c>
      <c r="C229" s="172"/>
      <c r="D229" s="171"/>
      <c r="E229" s="173"/>
      <c r="F229" s="50">
        <f>SUM(F224:F227)</f>
        <v>1000</v>
      </c>
      <c r="G229" s="50">
        <f>SUM(G224:G227)</f>
        <v>1000</v>
      </c>
      <c r="H229" s="244"/>
      <c r="I229" s="244"/>
      <c r="J229" s="244"/>
      <c r="K229" s="244"/>
      <c r="L229" s="244"/>
      <c r="M229" s="244"/>
      <c r="N229" s="244"/>
      <c r="O229" s="244"/>
      <c r="P229" s="244"/>
      <c r="Q229" s="253"/>
      <c r="R229" s="263"/>
      <c r="S229" s="237">
        <f>R229-F229</f>
        <v>-1000</v>
      </c>
      <c r="T229" s="238">
        <f>IF(F229=0,0,S229/F229)</f>
        <v>-1</v>
      </c>
      <c r="U229" s="237">
        <f>R229*$C$4</f>
        <v>0</v>
      </c>
      <c r="V229" s="237">
        <f>U229-G229</f>
        <v>-1000</v>
      </c>
      <c r="W229" s="238">
        <f>IF(G229=0,0,V229/G229)</f>
        <v>-1</v>
      </c>
      <c r="X229" s="238"/>
    </row>
    <row r="230" spans="1:24" ht="13.8" thickTop="1" x14ac:dyDescent="0.25">
      <c r="B230" s="174"/>
      <c r="F230" s="175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7"/>
      <c r="S230" s="225"/>
      <c r="T230" s="231"/>
      <c r="U230" s="225"/>
      <c r="V230" s="225"/>
      <c r="W230" s="231"/>
      <c r="X230" s="231"/>
    </row>
    <row r="231" spans="1:24" x14ac:dyDescent="0.25">
      <c r="A231" s="99" t="s">
        <v>157</v>
      </c>
      <c r="B231" s="99" t="s">
        <v>156</v>
      </c>
      <c r="C231" s="2"/>
      <c r="D231" s="142"/>
      <c r="E231" s="143"/>
      <c r="F231" s="3"/>
      <c r="G231" s="53"/>
      <c r="H231" s="242"/>
      <c r="I231" s="242"/>
      <c r="J231" s="242"/>
      <c r="K231" s="242"/>
      <c r="L231" s="242"/>
      <c r="M231" s="242"/>
      <c r="N231" s="242"/>
      <c r="O231" s="242"/>
      <c r="P231" s="242"/>
      <c r="Q231" s="251"/>
      <c r="R231" s="256"/>
      <c r="S231" s="225"/>
      <c r="T231" s="231"/>
      <c r="U231" s="225"/>
      <c r="V231" s="225"/>
      <c r="W231" s="231"/>
      <c r="X231" s="231"/>
    </row>
    <row r="232" spans="1:24" x14ac:dyDescent="0.25">
      <c r="A232" s="109" t="s">
        <v>162</v>
      </c>
      <c r="B232" s="170" t="s">
        <v>294</v>
      </c>
      <c r="C232" s="21" t="s">
        <v>436</v>
      </c>
      <c r="D232" s="25">
        <v>1</v>
      </c>
      <c r="E232" s="18">
        <v>500</v>
      </c>
      <c r="F232" s="3">
        <f>D232*E232</f>
        <v>500</v>
      </c>
      <c r="G232" s="53">
        <f>F232*C4</f>
        <v>500</v>
      </c>
      <c r="H232" s="242"/>
      <c r="I232" s="242"/>
      <c r="J232" s="242"/>
      <c r="K232" s="242"/>
      <c r="L232" s="242"/>
      <c r="M232" s="242"/>
      <c r="N232" s="242"/>
      <c r="O232" s="242"/>
      <c r="P232" s="242"/>
      <c r="Q232" s="251"/>
      <c r="R232" s="262"/>
      <c r="S232" s="225">
        <f>R232-F232</f>
        <v>-500</v>
      </c>
      <c r="T232" s="231">
        <f>IF(F232=0,0,S232/F232)</f>
        <v>-1</v>
      </c>
      <c r="U232" s="225">
        <f>R232*$C$4</f>
        <v>0</v>
      </c>
      <c r="V232" s="225">
        <f>U232-G232</f>
        <v>-500</v>
      </c>
      <c r="W232" s="231">
        <f>IF(G232=0,0,V232/G232)</f>
        <v>-1</v>
      </c>
      <c r="X232" s="231"/>
    </row>
    <row r="233" spans="1:24" hidden="1" x14ac:dyDescent="0.25">
      <c r="A233" s="109" t="s">
        <v>163</v>
      </c>
      <c r="B233" s="170" t="s">
        <v>159</v>
      </c>
      <c r="C233" s="35"/>
      <c r="D233" s="36"/>
      <c r="E233" s="39"/>
      <c r="F233" s="3">
        <f>D233*E233</f>
        <v>0</v>
      </c>
      <c r="G233" s="53">
        <f>F233*C4</f>
        <v>0</v>
      </c>
      <c r="H233" s="242"/>
      <c r="I233" s="242"/>
      <c r="J233" s="242"/>
      <c r="K233" s="242"/>
      <c r="L233" s="242"/>
      <c r="M233" s="242"/>
      <c r="N233" s="242"/>
      <c r="O233" s="242"/>
      <c r="P233" s="242"/>
      <c r="Q233" s="251"/>
      <c r="R233" s="262"/>
      <c r="S233" s="225">
        <f>R233-F233</f>
        <v>0</v>
      </c>
      <c r="T233" s="231">
        <f>IF(F233=0,0,S233/F233)</f>
        <v>0</v>
      </c>
      <c r="U233" s="225">
        <f>R233*$C$4</f>
        <v>0</v>
      </c>
      <c r="V233" s="225">
        <f>U233-G233</f>
        <v>0</v>
      </c>
      <c r="W233" s="231">
        <f>IF(G233=0,0,V233/G233)</f>
        <v>0</v>
      </c>
      <c r="X233" s="231"/>
    </row>
    <row r="234" spans="1:24" hidden="1" x14ac:dyDescent="0.25">
      <c r="A234" s="109" t="s">
        <v>164</v>
      </c>
      <c r="B234" s="170" t="s">
        <v>160</v>
      </c>
      <c r="C234" s="35"/>
      <c r="D234" s="36"/>
      <c r="E234" s="39"/>
      <c r="F234" s="3">
        <f>D234*E234</f>
        <v>0</v>
      </c>
      <c r="G234" s="53">
        <f>F234*C4</f>
        <v>0</v>
      </c>
      <c r="H234" s="242"/>
      <c r="I234" s="242"/>
      <c r="J234" s="242"/>
      <c r="K234" s="242"/>
      <c r="L234" s="242"/>
      <c r="M234" s="242"/>
      <c r="N234" s="242"/>
      <c r="O234" s="242"/>
      <c r="P234" s="242"/>
      <c r="Q234" s="251"/>
      <c r="R234" s="262"/>
      <c r="S234" s="225">
        <f>R234-F234</f>
        <v>0</v>
      </c>
      <c r="T234" s="231">
        <f>IF(F234=0,0,S234/F234)</f>
        <v>0</v>
      </c>
      <c r="U234" s="225">
        <f>R234*$C$4</f>
        <v>0</v>
      </c>
      <c r="V234" s="225">
        <f>U234-G234</f>
        <v>0</v>
      </c>
      <c r="W234" s="231">
        <f>IF(G234=0,0,V234/G234)</f>
        <v>0</v>
      </c>
      <c r="X234" s="231"/>
    </row>
    <row r="235" spans="1:24" x14ac:dyDescent="0.25">
      <c r="A235" s="99"/>
      <c r="B235" s="170"/>
      <c r="C235" s="40"/>
      <c r="D235" s="41"/>
      <c r="E235" s="42"/>
      <c r="F235" s="3"/>
      <c r="G235" s="53"/>
      <c r="H235" s="242"/>
      <c r="I235" s="242"/>
      <c r="J235" s="242"/>
      <c r="K235" s="242"/>
      <c r="L235" s="242"/>
      <c r="M235" s="242"/>
      <c r="N235" s="242"/>
      <c r="O235" s="242"/>
      <c r="P235" s="242"/>
      <c r="Q235" s="251"/>
      <c r="R235" s="256"/>
      <c r="S235" s="237"/>
      <c r="T235" s="238"/>
      <c r="U235" s="237"/>
      <c r="V235" s="237"/>
      <c r="W235" s="238"/>
      <c r="X235" s="238"/>
    </row>
    <row r="236" spans="1:24" ht="13.8" thickBot="1" x14ac:dyDescent="0.3">
      <c r="A236" s="99"/>
      <c r="B236" s="146" t="s">
        <v>161</v>
      </c>
      <c r="C236" s="172"/>
      <c r="D236" s="171"/>
      <c r="E236" s="173"/>
      <c r="F236" s="50">
        <f>SUM(F232:F234)</f>
        <v>500</v>
      </c>
      <c r="G236" s="50">
        <f>SUM(G232:G234)</f>
        <v>500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37">
        <f>R236-F236</f>
        <v>-500</v>
      </c>
      <c r="T236" s="238">
        <f>IF(F236=0,0,S236/F236)</f>
        <v>-1</v>
      </c>
      <c r="U236" s="237">
        <f>R236*$C$4</f>
        <v>0</v>
      </c>
      <c r="V236" s="237">
        <f>U236-G236</f>
        <v>-500</v>
      </c>
      <c r="W236" s="238">
        <f>IF(G236=0,0,V236/G236)</f>
        <v>-1</v>
      </c>
      <c r="X236" s="238"/>
    </row>
    <row r="237" spans="1:24" ht="13.8" thickTop="1" x14ac:dyDescent="0.25">
      <c r="A237" s="99"/>
      <c r="B237" s="146"/>
      <c r="C237" s="172"/>
      <c r="D237" s="171"/>
      <c r="E237" s="173"/>
      <c r="F237" s="169"/>
      <c r="G237" s="169"/>
      <c r="H237" s="244"/>
      <c r="I237" s="244"/>
      <c r="J237" s="244"/>
      <c r="K237" s="244"/>
      <c r="L237" s="244"/>
      <c r="M237" s="244"/>
      <c r="N237" s="244"/>
      <c r="O237" s="244"/>
      <c r="P237" s="244"/>
      <c r="Q237" s="253"/>
      <c r="R237" s="263"/>
      <c r="S237" s="237"/>
      <c r="T237" s="238"/>
      <c r="U237" s="237"/>
      <c r="V237" s="237"/>
      <c r="W237" s="238"/>
      <c r="X237" s="238"/>
    </row>
    <row r="238" spans="1:24" x14ac:dyDescent="0.25">
      <c r="A238" s="99" t="s">
        <v>310</v>
      </c>
      <c r="B238" s="146" t="s">
        <v>313</v>
      </c>
      <c r="C238" s="172"/>
      <c r="D238" s="171"/>
      <c r="E238" s="173"/>
      <c r="F238" s="169"/>
      <c r="G238" s="169"/>
      <c r="H238" s="244"/>
      <c r="I238" s="244"/>
      <c r="J238" s="244"/>
      <c r="K238" s="244"/>
      <c r="L238" s="244"/>
      <c r="M238" s="244"/>
      <c r="N238" s="244"/>
      <c r="O238" s="244"/>
      <c r="P238" s="244"/>
      <c r="Q238" s="253"/>
      <c r="R238" s="263"/>
      <c r="S238" s="237"/>
      <c r="T238" s="238"/>
      <c r="U238" s="237"/>
      <c r="V238" s="237"/>
      <c r="W238" s="238"/>
      <c r="X238" s="238"/>
    </row>
    <row r="239" spans="1:24" x14ac:dyDescent="0.25">
      <c r="A239" s="109" t="s">
        <v>315</v>
      </c>
      <c r="B239" s="157" t="s">
        <v>314</v>
      </c>
      <c r="C239" s="172"/>
      <c r="D239" s="171"/>
      <c r="E239" s="173">
        <f ca="1">F273/1.03*3%</f>
        <v>11515.512000000001</v>
      </c>
      <c r="F239" s="169">
        <f ca="1">E239</f>
        <v>11515.512000000001</v>
      </c>
      <c r="G239" s="169">
        <f ca="1">F239*C4</f>
        <v>11515.512000000001</v>
      </c>
      <c r="H239" s="244"/>
      <c r="I239" s="244"/>
      <c r="J239" s="244"/>
      <c r="K239" s="244"/>
      <c r="L239" s="244"/>
      <c r="M239" s="244"/>
      <c r="N239" s="244"/>
      <c r="O239" s="244"/>
      <c r="P239" s="244"/>
      <c r="Q239" s="253"/>
      <c r="R239" s="263" t="e">
        <f>#REF!/1.03*3%</f>
        <v>#REF!</v>
      </c>
      <c r="S239" s="237"/>
      <c r="T239" s="238"/>
      <c r="U239" s="237" t="e">
        <f>R239*C4</f>
        <v>#REF!</v>
      </c>
      <c r="V239" s="237"/>
      <c r="W239" s="238"/>
      <c r="X239" s="238"/>
    </row>
    <row r="240" spans="1:24" x14ac:dyDescent="0.25">
      <c r="A240" s="109"/>
      <c r="B240" s="157"/>
      <c r="C240" s="172"/>
      <c r="D240" s="171"/>
      <c r="E240" s="173"/>
      <c r="F240" s="169"/>
      <c r="G240" s="169"/>
      <c r="H240" s="244"/>
      <c r="I240" s="244"/>
      <c r="J240" s="244"/>
      <c r="K240" s="244"/>
      <c r="L240" s="244"/>
      <c r="M240" s="244"/>
      <c r="N240" s="244"/>
      <c r="O240" s="244"/>
      <c r="P240" s="244"/>
      <c r="Q240" s="253"/>
      <c r="R240" s="263"/>
      <c r="S240" s="237"/>
      <c r="T240" s="238"/>
      <c r="U240" s="237"/>
      <c r="V240" s="237"/>
      <c r="W240" s="238"/>
      <c r="X240" s="238"/>
    </row>
    <row r="241" spans="1:24" ht="13.8" thickBot="1" x14ac:dyDescent="0.3">
      <c r="A241" s="99"/>
      <c r="B241" s="146" t="s">
        <v>316</v>
      </c>
      <c r="C241" s="172"/>
      <c r="D241" s="171"/>
      <c r="E241" s="173"/>
      <c r="F241" s="50">
        <f ca="1">F239</f>
        <v>11515.512000000001</v>
      </c>
      <c r="G241" s="50">
        <f ca="1">G239</f>
        <v>11515.512000000001</v>
      </c>
      <c r="H241" s="267"/>
      <c r="I241" s="244"/>
      <c r="J241" s="244"/>
      <c r="K241" s="244"/>
      <c r="L241" s="244"/>
      <c r="M241" s="244"/>
      <c r="N241" s="244"/>
      <c r="O241" s="244"/>
      <c r="P241" s="244"/>
      <c r="Q241" s="253"/>
      <c r="R241" s="263"/>
      <c r="S241" s="237"/>
      <c r="T241" s="238"/>
      <c r="U241" s="237"/>
      <c r="V241" s="237"/>
      <c r="W241" s="238"/>
      <c r="X241" s="238"/>
    </row>
    <row r="242" spans="1:24" ht="13.8" thickTop="1" x14ac:dyDescent="0.25">
      <c r="A242" s="99"/>
      <c r="B242" s="146"/>
      <c r="C242" s="118"/>
      <c r="D242" s="122"/>
      <c r="E242" s="123"/>
      <c r="F242" s="169"/>
      <c r="G242" s="169"/>
      <c r="H242" s="244"/>
      <c r="I242" s="244"/>
      <c r="J242" s="244"/>
      <c r="K242" s="244"/>
      <c r="L242" s="244"/>
      <c r="M242" s="244"/>
      <c r="N242" s="244"/>
      <c r="O242" s="244"/>
      <c r="P242" s="244"/>
      <c r="Q242" s="253"/>
      <c r="R242" s="259"/>
      <c r="S242" s="225"/>
      <c r="T242" s="231"/>
      <c r="U242" s="225"/>
      <c r="V242" s="225"/>
      <c r="W242" s="231"/>
      <c r="X242" s="231"/>
    </row>
    <row r="243" spans="1:24" x14ac:dyDescent="0.25">
      <c r="A243" s="99"/>
      <c r="B243" s="146"/>
      <c r="C243" s="118"/>
      <c r="D243" s="122"/>
      <c r="E243" s="123"/>
      <c r="F243" s="169"/>
      <c r="G243" s="169"/>
      <c r="H243" s="244"/>
      <c r="I243" s="244"/>
      <c r="J243" s="244"/>
      <c r="K243" s="244"/>
      <c r="L243" s="244"/>
      <c r="M243" s="244"/>
      <c r="N243" s="244"/>
      <c r="O243" s="244"/>
      <c r="P243" s="244"/>
      <c r="Q243" s="253"/>
      <c r="R243" s="259"/>
      <c r="S243" s="225"/>
      <c r="T243" s="231"/>
      <c r="U243" s="225"/>
      <c r="V243" s="225"/>
      <c r="W243" s="231"/>
      <c r="X243" s="231"/>
    </row>
    <row r="244" spans="1:24" ht="13.8" thickBot="1" x14ac:dyDescent="0.3">
      <c r="A244" s="176"/>
      <c r="B244" s="177" t="s">
        <v>49</v>
      </c>
      <c r="C244" s="179"/>
      <c r="D244" s="178"/>
      <c r="E244" s="180"/>
      <c r="F244" s="54">
        <f ca="1">SUM(F100+F172+F184+F203+F212+F221+F229+F236+F241)</f>
        <v>338695.51199999999</v>
      </c>
      <c r="G244" s="54">
        <f ca="1">F244*C4</f>
        <v>338695.51199999999</v>
      </c>
      <c r="H244" s="244"/>
      <c r="I244" s="244"/>
      <c r="J244" s="244"/>
      <c r="K244" s="244"/>
      <c r="L244" s="244"/>
      <c r="M244" s="244"/>
      <c r="N244" s="244"/>
      <c r="O244" s="244"/>
      <c r="P244" s="244"/>
      <c r="Q244" s="253"/>
      <c r="R244" s="263"/>
      <c r="S244" s="226">
        <f ca="1">R244-F244</f>
        <v>-338695.51199999999</v>
      </c>
      <c r="T244" s="236">
        <f ca="1">IF(F244=0,0,S244/F244)</f>
        <v>-1</v>
      </c>
      <c r="U244" s="226">
        <f>R244*$C$4</f>
        <v>0</v>
      </c>
      <c r="V244" s="226">
        <f ca="1">U244-G244</f>
        <v>-338695.51199999999</v>
      </c>
      <c r="W244" s="236">
        <f ca="1">IF(G244=0,0,V244/G244)</f>
        <v>-1</v>
      </c>
      <c r="X244" s="236"/>
    </row>
    <row r="245" spans="1:24" ht="13.8" thickTop="1" x14ac:dyDescent="0.25">
      <c r="B245" s="87"/>
      <c r="F245" s="48"/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57"/>
      <c r="S245" s="225"/>
      <c r="T245" s="231"/>
      <c r="U245" s="225"/>
      <c r="V245" s="225"/>
      <c r="W245" s="231"/>
      <c r="X245" s="231"/>
    </row>
    <row r="246" spans="1:24" x14ac:dyDescent="0.25">
      <c r="A246" s="70" t="s">
        <v>57</v>
      </c>
      <c r="F246" s="48"/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57"/>
      <c r="S246" s="225"/>
      <c r="T246" s="231"/>
      <c r="U246" s="225"/>
      <c r="V246" s="225"/>
      <c r="W246" s="231"/>
      <c r="X246" s="231"/>
    </row>
    <row r="247" spans="1:24" x14ac:dyDescent="0.25">
      <c r="A247" s="70" t="s">
        <v>18</v>
      </c>
      <c r="B247" s="181" t="s">
        <v>9</v>
      </c>
      <c r="F247" s="48"/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57"/>
      <c r="S247" s="225"/>
      <c r="T247" s="231"/>
      <c r="U247" s="225"/>
      <c r="V247" s="225"/>
      <c r="W247" s="231"/>
      <c r="X247" s="231"/>
    </row>
    <row r="248" spans="1:24" x14ac:dyDescent="0.25">
      <c r="B248" s="137" t="s">
        <v>500</v>
      </c>
      <c r="C248" s="21" t="s">
        <v>393</v>
      </c>
      <c r="D248" s="25">
        <v>12</v>
      </c>
      <c r="E248" s="18">
        <f>2200*30%</f>
        <v>660</v>
      </c>
      <c r="F248" s="48">
        <f>D248*E248</f>
        <v>7920</v>
      </c>
      <c r="G248" s="49">
        <f>F248*C4</f>
        <v>7920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>
        <f>R248-F248</f>
        <v>-7920</v>
      </c>
      <c r="T248" s="231">
        <f>IF(F248=0,0,S248/F248)</f>
        <v>-1</v>
      </c>
      <c r="U248" s="225">
        <f>R248*$C$4</f>
        <v>0</v>
      </c>
      <c r="V248" s="225">
        <f>U248-G248</f>
        <v>-7920</v>
      </c>
      <c r="W248" s="231">
        <f>IF(G248=0,0,V248/G248)</f>
        <v>-1</v>
      </c>
      <c r="X248" s="231"/>
    </row>
    <row r="249" spans="1:24" x14ac:dyDescent="0.25">
      <c r="B249" s="137" t="s">
        <v>501</v>
      </c>
      <c r="C249" s="21" t="s">
        <v>393</v>
      </c>
      <c r="D249" s="25">
        <v>12</v>
      </c>
      <c r="E249" s="18">
        <f>3215*15%</f>
        <v>482.25</v>
      </c>
      <c r="F249" s="48">
        <f>D249*E249</f>
        <v>5787</v>
      </c>
      <c r="G249" s="49">
        <f>F249*C4</f>
        <v>5787</v>
      </c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62"/>
      <c r="S249" s="225">
        <f>R249-F249</f>
        <v>-5787</v>
      </c>
      <c r="T249" s="231">
        <f>IF(F249=0,0,S249/F249)</f>
        <v>-1</v>
      </c>
      <c r="U249" s="225">
        <f>R249*$C$4</f>
        <v>0</v>
      </c>
      <c r="V249" s="225">
        <f>U249-G249</f>
        <v>-5787</v>
      </c>
      <c r="W249" s="231">
        <f>IF(G249=0,0,V249/G249)</f>
        <v>-1</v>
      </c>
      <c r="X249" s="231"/>
    </row>
    <row r="250" spans="1:24" x14ac:dyDescent="0.25">
      <c r="B250" s="149" t="s">
        <v>502</v>
      </c>
      <c r="C250" s="21" t="s">
        <v>393</v>
      </c>
      <c r="D250" s="25">
        <v>12</v>
      </c>
      <c r="E250" s="18">
        <f>1500*25%</f>
        <v>375</v>
      </c>
      <c r="F250" s="48">
        <f>D250*E250</f>
        <v>4500</v>
      </c>
      <c r="G250" s="49">
        <f>F250*C4</f>
        <v>4500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>
        <f>R250-F250</f>
        <v>-4500</v>
      </c>
      <c r="T250" s="231">
        <f>IF(F250=0,0,S250/F250)</f>
        <v>-1</v>
      </c>
      <c r="U250" s="225">
        <f>R250*$C$4</f>
        <v>0</v>
      </c>
      <c r="V250" s="225">
        <f>U250-G250</f>
        <v>-4500</v>
      </c>
      <c r="W250" s="231">
        <f>IF(G250=0,0,V250/G250)</f>
        <v>-1</v>
      </c>
      <c r="X250" s="231"/>
    </row>
    <row r="251" spans="1:24" x14ac:dyDescent="0.25">
      <c r="B251" s="149" t="s">
        <v>503</v>
      </c>
      <c r="C251" s="21" t="s">
        <v>393</v>
      </c>
      <c r="D251" s="25">
        <v>10</v>
      </c>
      <c r="E251" s="18">
        <f>4000*10%</f>
        <v>400</v>
      </c>
      <c r="F251" s="48">
        <f t="shared" ref="F251:F256" si="14">D251*E251</f>
        <v>4000</v>
      </c>
      <c r="G251" s="49">
        <f>F251*C4</f>
        <v>4000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/>
      <c r="T251" s="231"/>
      <c r="U251" s="225"/>
      <c r="V251" s="225"/>
      <c r="W251" s="231"/>
      <c r="X251" s="231"/>
    </row>
    <row r="252" spans="1:24" x14ac:dyDescent="0.25">
      <c r="B252" s="149" t="s">
        <v>504</v>
      </c>
      <c r="C252" s="21" t="s">
        <v>393</v>
      </c>
      <c r="D252" s="25">
        <v>10</v>
      </c>
      <c r="E252" s="18">
        <f>4000*10%</f>
        <v>400</v>
      </c>
      <c r="F252" s="48">
        <f t="shared" si="14"/>
        <v>4000</v>
      </c>
      <c r="G252" s="49">
        <f>F252*C4</f>
        <v>4000</v>
      </c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62"/>
      <c r="S252" s="225"/>
      <c r="T252" s="231"/>
      <c r="U252" s="225"/>
      <c r="V252" s="225"/>
      <c r="W252" s="231"/>
      <c r="X252" s="231"/>
    </row>
    <row r="253" spans="1:24" x14ac:dyDescent="0.25">
      <c r="B253" s="149" t="s">
        <v>505</v>
      </c>
      <c r="C253" s="21" t="s">
        <v>393</v>
      </c>
      <c r="D253" s="25">
        <v>10</v>
      </c>
      <c r="E253" s="18">
        <f>4000*10%</f>
        <v>400</v>
      </c>
      <c r="F253" s="48">
        <f t="shared" si="14"/>
        <v>4000</v>
      </c>
      <c r="G253" s="49">
        <f>F253*C4</f>
        <v>4000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/>
      <c r="T253" s="231"/>
      <c r="U253" s="225"/>
      <c r="V253" s="225"/>
      <c r="W253" s="231"/>
      <c r="X253" s="231"/>
    </row>
    <row r="254" spans="1:24" x14ac:dyDescent="0.25">
      <c r="B254" s="149" t="s">
        <v>506</v>
      </c>
      <c r="C254" s="21" t="s">
        <v>393</v>
      </c>
      <c r="D254" s="25">
        <v>10</v>
      </c>
      <c r="E254" s="18">
        <f>4000*10%</f>
        <v>400</v>
      </c>
      <c r="F254" s="48">
        <f t="shared" si="14"/>
        <v>4000</v>
      </c>
      <c r="G254" s="49">
        <f>F254*C4</f>
        <v>4000</v>
      </c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62"/>
      <c r="S254" s="225"/>
      <c r="T254" s="231"/>
      <c r="U254" s="225"/>
      <c r="V254" s="225"/>
      <c r="W254" s="231"/>
      <c r="X254" s="231"/>
    </row>
    <row r="255" spans="1:24" x14ac:dyDescent="0.25">
      <c r="B255" s="149" t="s">
        <v>507</v>
      </c>
      <c r="C255" s="21" t="s">
        <v>393</v>
      </c>
      <c r="D255" s="25">
        <v>10</v>
      </c>
      <c r="E255" s="18">
        <f>4000*10%</f>
        <v>400</v>
      </c>
      <c r="F255" s="48">
        <f t="shared" si="14"/>
        <v>4000</v>
      </c>
      <c r="G255" s="49">
        <f>F255*C4</f>
        <v>4000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/>
      <c r="T255" s="231"/>
      <c r="U255" s="225"/>
      <c r="V255" s="225"/>
      <c r="W255" s="231"/>
      <c r="X255" s="231"/>
    </row>
    <row r="256" spans="1:24" x14ac:dyDescent="0.25">
      <c r="B256" s="149" t="s">
        <v>508</v>
      </c>
      <c r="C256" s="21" t="s">
        <v>393</v>
      </c>
      <c r="D256" s="25">
        <v>10</v>
      </c>
      <c r="E256" s="18">
        <f>1800*25%</f>
        <v>450</v>
      </c>
      <c r="F256" s="48">
        <f t="shared" si="14"/>
        <v>4500</v>
      </c>
      <c r="G256" s="49">
        <f>F256*C4</f>
        <v>4500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/>
      <c r="T256" s="231"/>
      <c r="U256" s="225"/>
      <c r="V256" s="225"/>
      <c r="W256" s="231"/>
      <c r="X256" s="231"/>
    </row>
    <row r="257" spans="1:25" x14ac:dyDescent="0.25">
      <c r="B257" s="182" t="s">
        <v>35</v>
      </c>
      <c r="C257" s="6"/>
      <c r="D257" s="7"/>
      <c r="E257" s="8"/>
      <c r="F257" s="48"/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57"/>
      <c r="S257" s="225"/>
      <c r="T257" s="231"/>
      <c r="U257" s="225"/>
      <c r="V257" s="225"/>
      <c r="W257" s="231"/>
      <c r="X257" s="231"/>
    </row>
    <row r="258" spans="1:25" x14ac:dyDescent="0.25">
      <c r="B258" s="137" t="s">
        <v>509</v>
      </c>
      <c r="C258" s="21" t="s">
        <v>393</v>
      </c>
      <c r="D258" s="25">
        <v>12</v>
      </c>
      <c r="E258" s="18">
        <f>(27000*10%)/12</f>
        <v>225</v>
      </c>
      <c r="F258" s="48">
        <f t="shared" ref="F258:F263" si="15">D258*E258</f>
        <v>2700</v>
      </c>
      <c r="G258" s="49">
        <f>F258*C4</f>
        <v>2700</v>
      </c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62"/>
      <c r="S258" s="225">
        <f>R258-F258</f>
        <v>-2700</v>
      </c>
      <c r="T258" s="231">
        <f>IF(F258=0,0,S258/F258)</f>
        <v>-1</v>
      </c>
      <c r="U258" s="225">
        <f>R258*$C$4</f>
        <v>0</v>
      </c>
      <c r="V258" s="225">
        <f>U258-G258</f>
        <v>-2700</v>
      </c>
      <c r="W258" s="231">
        <f>IF(G258=0,0,V258/G258)</f>
        <v>-1</v>
      </c>
      <c r="X258" s="231"/>
    </row>
    <row r="259" spans="1:25" x14ac:dyDescent="0.25">
      <c r="B259" s="149" t="s">
        <v>510</v>
      </c>
      <c r="C259" s="21" t="s">
        <v>393</v>
      </c>
      <c r="D259" s="25">
        <v>12</v>
      </c>
      <c r="E259" s="18">
        <f>2500*15%</f>
        <v>375</v>
      </c>
      <c r="F259" s="48">
        <f t="shared" si="15"/>
        <v>4500</v>
      </c>
      <c r="G259" s="49">
        <f>F259*C4</f>
        <v>4500</v>
      </c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62"/>
      <c r="S259" s="225">
        <f>R259-F259</f>
        <v>-4500</v>
      </c>
      <c r="T259" s="231">
        <f>IF(F259=0,0,S259/F259)</f>
        <v>-1</v>
      </c>
      <c r="U259" s="225">
        <f>R259*$C$4</f>
        <v>0</v>
      </c>
      <c r="V259" s="225">
        <f>U259-G259</f>
        <v>-4500</v>
      </c>
      <c r="W259" s="231">
        <f>IF(G259=0,0,V259/G259)</f>
        <v>-1</v>
      </c>
      <c r="X259" s="231"/>
    </row>
    <row r="260" spans="1:25" x14ac:dyDescent="0.25">
      <c r="B260" s="149" t="s">
        <v>511</v>
      </c>
      <c r="C260" s="21" t="s">
        <v>393</v>
      </c>
      <c r="D260" s="25">
        <v>12</v>
      </c>
      <c r="E260" s="18">
        <v>150</v>
      </c>
      <c r="F260" s="48">
        <f t="shared" si="15"/>
        <v>1800</v>
      </c>
      <c r="G260" s="49">
        <f>F260*C$4</f>
        <v>1800</v>
      </c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62"/>
      <c r="S260" s="225"/>
      <c r="T260" s="231"/>
      <c r="U260" s="225"/>
      <c r="V260" s="225"/>
      <c r="W260" s="231"/>
      <c r="X260" s="231"/>
    </row>
    <row r="261" spans="1:25" x14ac:dyDescent="0.25">
      <c r="B261" s="149" t="s">
        <v>512</v>
      </c>
      <c r="C261" s="21" t="s">
        <v>393</v>
      </c>
      <c r="D261" s="25">
        <v>12</v>
      </c>
      <c r="E261" s="18">
        <f>1500*10%</f>
        <v>150</v>
      </c>
      <c r="F261" s="48">
        <f t="shared" si="15"/>
        <v>1800</v>
      </c>
      <c r="G261" s="49">
        <f>F261*C$4</f>
        <v>1800</v>
      </c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62"/>
      <c r="S261" s="225"/>
      <c r="T261" s="231"/>
      <c r="U261" s="225"/>
      <c r="V261" s="225"/>
      <c r="W261" s="231"/>
      <c r="X261" s="231"/>
    </row>
    <row r="262" spans="1:25" x14ac:dyDescent="0.25">
      <c r="B262" s="149" t="s">
        <v>513</v>
      </c>
      <c r="C262" s="21" t="s">
        <v>515</v>
      </c>
      <c r="D262" s="25">
        <v>1</v>
      </c>
      <c r="E262" s="18">
        <v>500</v>
      </c>
      <c r="F262" s="48">
        <f t="shared" si="15"/>
        <v>500</v>
      </c>
      <c r="G262" s="49">
        <f>F262*C$4</f>
        <v>500</v>
      </c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62"/>
      <c r="S262" s="225"/>
      <c r="T262" s="231"/>
      <c r="U262" s="225"/>
      <c r="V262" s="225"/>
      <c r="W262" s="231"/>
      <c r="X262" s="231"/>
    </row>
    <row r="263" spans="1:25" x14ac:dyDescent="0.25">
      <c r="B263" s="149" t="s">
        <v>514</v>
      </c>
      <c r="C263" s="21" t="s">
        <v>515</v>
      </c>
      <c r="D263" s="25">
        <v>1</v>
      </c>
      <c r="E263" s="18">
        <v>81</v>
      </c>
      <c r="F263" s="48">
        <f t="shared" si="15"/>
        <v>81</v>
      </c>
      <c r="G263" s="49">
        <f>F263*C$4</f>
        <v>81</v>
      </c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62"/>
      <c r="S263" s="225">
        <f>R263-F263</f>
        <v>-81</v>
      </c>
      <c r="T263" s="231">
        <f>IF(F263=0,0,S263/F263)</f>
        <v>-1</v>
      </c>
      <c r="U263" s="225">
        <f>R263*$C$4</f>
        <v>0</v>
      </c>
      <c r="V263" s="225">
        <f>U263-G263</f>
        <v>-81</v>
      </c>
      <c r="W263" s="231">
        <f>IF(G263=0,0,V263/G263)</f>
        <v>-1</v>
      </c>
      <c r="X263" s="231"/>
    </row>
    <row r="264" spans="1:25" x14ac:dyDescent="0.25">
      <c r="B264" s="182" t="s">
        <v>39</v>
      </c>
      <c r="C264" s="6"/>
      <c r="D264" s="7"/>
      <c r="E264" s="8"/>
      <c r="F264" s="48"/>
      <c r="H264" s="242"/>
      <c r="I264" s="242"/>
      <c r="J264" s="242"/>
      <c r="K264" s="242"/>
      <c r="L264" s="242"/>
      <c r="M264" s="242"/>
      <c r="N264" s="242"/>
      <c r="O264" s="242"/>
      <c r="P264" s="242"/>
      <c r="Q264" s="251"/>
      <c r="R264" s="257"/>
      <c r="S264" s="225"/>
      <c r="T264" s="231"/>
      <c r="U264" s="225"/>
      <c r="V264" s="225"/>
      <c r="W264" s="231"/>
      <c r="X264" s="231"/>
    </row>
    <row r="265" spans="1:25" x14ac:dyDescent="0.25">
      <c r="B265" s="149" t="s">
        <v>516</v>
      </c>
      <c r="C265" s="21" t="s">
        <v>393</v>
      </c>
      <c r="D265" s="25">
        <v>12</v>
      </c>
      <c r="E265" s="18">
        <v>130</v>
      </c>
      <c r="F265" s="48">
        <f>D265*E265</f>
        <v>1560</v>
      </c>
      <c r="G265" s="49">
        <f>F265*C$4</f>
        <v>1560</v>
      </c>
      <c r="H265" s="242"/>
      <c r="I265" s="242"/>
      <c r="J265" s="242"/>
      <c r="K265" s="242"/>
      <c r="L265" s="242"/>
      <c r="M265" s="242"/>
      <c r="N265" s="242"/>
      <c r="O265" s="242"/>
      <c r="P265" s="242"/>
      <c r="Q265" s="251"/>
      <c r="R265" s="257"/>
      <c r="S265" s="225"/>
      <c r="T265" s="231"/>
      <c r="U265" s="225"/>
      <c r="V265" s="225"/>
      <c r="W265" s="231"/>
      <c r="X265" s="231"/>
    </row>
    <row r="266" spans="1:25" x14ac:dyDescent="0.25">
      <c r="B266" s="149" t="s">
        <v>517</v>
      </c>
      <c r="C266" s="21" t="s">
        <v>393</v>
      </c>
      <c r="D266" s="25">
        <v>12</v>
      </c>
      <c r="E266" s="18">
        <f>852*10%</f>
        <v>85.2</v>
      </c>
      <c r="F266" s="48">
        <f>D266*E266</f>
        <v>1022.4000000000001</v>
      </c>
      <c r="G266" s="49">
        <f>F266*C4</f>
        <v>1022.4000000000001</v>
      </c>
      <c r="H266" s="242"/>
      <c r="I266" s="242"/>
      <c r="J266" s="242"/>
      <c r="K266" s="242"/>
      <c r="L266" s="242"/>
      <c r="M266" s="242"/>
      <c r="N266" s="242"/>
      <c r="O266" s="242"/>
      <c r="P266" s="242"/>
      <c r="Q266" s="251"/>
      <c r="R266" s="262"/>
      <c r="S266" s="225">
        <f>R266-F266</f>
        <v>-1022.4000000000001</v>
      </c>
      <c r="T266" s="231">
        <f>IF(F266=0,0,S266/F266)</f>
        <v>-1</v>
      </c>
      <c r="U266" s="225">
        <f>R266*$C$4</f>
        <v>0</v>
      </c>
      <c r="V266" s="225">
        <f>U266-G266</f>
        <v>-1022.4000000000001</v>
      </c>
      <c r="W266" s="231">
        <f>IF(G266=0,0,V266/G266)</f>
        <v>-1</v>
      </c>
      <c r="X266" s="231"/>
    </row>
    <row r="267" spans="1:25" x14ac:dyDescent="0.25">
      <c r="B267" s="182" t="s">
        <v>41</v>
      </c>
      <c r="C267" s="5"/>
      <c r="D267" s="5"/>
      <c r="E267" s="5"/>
      <c r="F267" s="168"/>
      <c r="H267" s="242"/>
      <c r="I267" s="242"/>
      <c r="J267" s="242"/>
      <c r="K267" s="242"/>
      <c r="L267" s="242"/>
      <c r="M267" s="242"/>
      <c r="N267" s="242"/>
      <c r="O267" s="242"/>
      <c r="P267" s="242"/>
      <c r="Q267" s="251"/>
      <c r="R267" s="257"/>
      <c r="S267" s="225"/>
      <c r="T267" s="231"/>
      <c r="U267" s="225"/>
      <c r="V267" s="225"/>
      <c r="W267" s="231"/>
      <c r="X267" s="231"/>
    </row>
    <row r="268" spans="1:25" x14ac:dyDescent="0.25">
      <c r="B268" s="137" t="s">
        <v>42</v>
      </c>
      <c r="C268" s="35"/>
      <c r="D268" s="36"/>
      <c r="E268" s="39"/>
      <c r="F268" s="48">
        <f>D268*E268</f>
        <v>0</v>
      </c>
      <c r="G268" s="49">
        <f>F268*C4</f>
        <v>0</v>
      </c>
      <c r="H268" s="242"/>
      <c r="I268" s="242"/>
      <c r="J268" s="242"/>
      <c r="K268" s="242"/>
      <c r="L268" s="242"/>
      <c r="M268" s="242"/>
      <c r="N268" s="242"/>
      <c r="O268" s="242"/>
      <c r="P268" s="242"/>
      <c r="Q268" s="251"/>
      <c r="R268" s="262"/>
      <c r="S268" s="225">
        <f>R268-F268</f>
        <v>0</v>
      </c>
      <c r="T268" s="231">
        <f>IF(F268=0,0,S268/F268)</f>
        <v>0</v>
      </c>
      <c r="U268" s="225">
        <f>R268*$C$4</f>
        <v>0</v>
      </c>
      <c r="V268" s="225">
        <f>U268-G268</f>
        <v>0</v>
      </c>
      <c r="W268" s="231">
        <f>IF(G268=0,0,V268/G268)</f>
        <v>0</v>
      </c>
      <c r="X268" s="231"/>
    </row>
    <row r="269" spans="1:25" x14ac:dyDescent="0.25">
      <c r="B269" s="149"/>
      <c r="C269" s="6"/>
      <c r="D269" s="7"/>
      <c r="E269" s="8"/>
      <c r="F269" s="48"/>
      <c r="H269" s="242"/>
      <c r="I269" s="242"/>
      <c r="J269" s="242"/>
      <c r="K269" s="242"/>
      <c r="L269" s="242"/>
      <c r="M269" s="242"/>
      <c r="N269" s="242"/>
      <c r="O269" s="242"/>
      <c r="P269" s="242"/>
      <c r="Q269" s="251"/>
      <c r="R269" s="257"/>
      <c r="S269" s="225"/>
      <c r="T269" s="231"/>
      <c r="U269" s="225"/>
      <c r="V269" s="225"/>
      <c r="W269" s="231"/>
      <c r="X269" s="231"/>
    </row>
    <row r="270" spans="1:25" x14ac:dyDescent="0.25">
      <c r="A270" s="177"/>
      <c r="B270" s="177" t="s">
        <v>58</v>
      </c>
      <c r="C270" s="179"/>
      <c r="D270" s="178"/>
      <c r="E270" s="180"/>
      <c r="F270" s="263">
        <f>SUM(F248:F269)</f>
        <v>56670.400000000001</v>
      </c>
      <c r="G270" s="319">
        <f>SUM(G248:G269)</f>
        <v>56670.400000000001</v>
      </c>
      <c r="H270" s="246"/>
      <c r="I270" s="246"/>
      <c r="J270" s="246"/>
      <c r="K270" s="246"/>
      <c r="L270" s="246"/>
      <c r="M270" s="246"/>
      <c r="N270" s="246"/>
      <c r="O270" s="246"/>
      <c r="P270" s="246"/>
      <c r="Q270" s="255"/>
      <c r="R270" s="265"/>
      <c r="S270" s="226">
        <f>R270-F270</f>
        <v>-56670.400000000001</v>
      </c>
      <c r="T270" s="236">
        <f>IF(F270=0,0,S270/F270)</f>
        <v>-1</v>
      </c>
      <c r="U270" s="226">
        <f>R270*$C$4</f>
        <v>0</v>
      </c>
      <c r="V270" s="226">
        <f>U270-G270</f>
        <v>-56670.400000000001</v>
      </c>
      <c r="W270" s="236">
        <f>IF(G270=0,0,V270/G270)</f>
        <v>-1</v>
      </c>
      <c r="X270" s="236"/>
    </row>
    <row r="271" spans="1:25" x14ac:dyDescent="0.25">
      <c r="A271" s="146"/>
      <c r="B271" s="146"/>
      <c r="C271" s="118"/>
      <c r="D271" s="122"/>
      <c r="E271" s="123"/>
      <c r="F271" s="55">
        <f ca="1">(F270/F273)</f>
        <v>0.1433365858814859</v>
      </c>
      <c r="G271" s="55">
        <f ca="1">(G270/G273)</f>
        <v>0.1433365858814859</v>
      </c>
      <c r="H271" s="247"/>
      <c r="I271" s="248"/>
      <c r="J271" s="248"/>
      <c r="K271" s="248"/>
      <c r="L271" s="248"/>
      <c r="M271" s="248"/>
      <c r="N271" s="248"/>
      <c r="O271" s="248"/>
      <c r="P271" s="248"/>
      <c r="Q271" s="248"/>
      <c r="R271" s="228"/>
      <c r="S271" s="228"/>
      <c r="T271" s="228"/>
      <c r="U271" s="228"/>
      <c r="V271" s="228"/>
      <c r="W271" s="183" t="s">
        <v>180</v>
      </c>
      <c r="X271" s="183"/>
      <c r="Y271" s="53"/>
    </row>
    <row r="272" spans="1:25" x14ac:dyDescent="0.25">
      <c r="F272" s="48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1"/>
      <c r="S272" s="1"/>
      <c r="T272" s="1"/>
      <c r="U272" s="1"/>
      <c r="V272" s="1"/>
    </row>
    <row r="273" spans="1:22" ht="13.8" thickBot="1" x14ac:dyDescent="0.3">
      <c r="A273" s="275"/>
      <c r="B273" s="275" t="s">
        <v>318</v>
      </c>
      <c r="C273" s="276"/>
      <c r="D273" s="277"/>
      <c r="E273" s="274"/>
      <c r="F273" s="278">
        <f ca="1">SUM(F244+F270)</f>
        <v>395365.91200000001</v>
      </c>
      <c r="G273" s="278">
        <f ca="1">G244+G270</f>
        <v>395365.91200000001</v>
      </c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175"/>
      <c r="S273" s="175"/>
      <c r="T273" s="175"/>
      <c r="U273" s="175"/>
      <c r="V273" s="175"/>
    </row>
    <row r="274" spans="1:22" ht="13.8" thickTop="1" x14ac:dyDescent="0.25">
      <c r="F274" s="4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"/>
      <c r="S274" s="1"/>
      <c r="T274" s="1"/>
      <c r="U274" s="1"/>
      <c r="V274" s="1"/>
    </row>
    <row r="275" spans="1:22" ht="13.8" thickBot="1" x14ac:dyDescent="0.3">
      <c r="A275" s="184" t="s">
        <v>24</v>
      </c>
      <c r="B275" s="185"/>
      <c r="C275" s="186"/>
      <c r="D275" s="187"/>
      <c r="E275" s="188"/>
      <c r="F275" s="290">
        <f ca="1">SUM(F273-F73)</f>
        <v>395365.91200000001</v>
      </c>
      <c r="G275" s="290">
        <f ca="1">SUM(G273-G73)</f>
        <v>395365.91200000001</v>
      </c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229"/>
      <c r="S275" s="229"/>
      <c r="T275" s="229"/>
      <c r="U275" s="229"/>
      <c r="V275" s="229"/>
    </row>
    <row r="276" spans="1:22" ht="13.8" thickTop="1" x14ac:dyDescent="0.25">
      <c r="F276" s="74"/>
    </row>
    <row r="277" spans="1:22" hidden="1" x14ac:dyDescent="0.25">
      <c r="A277" s="70" t="s">
        <v>15</v>
      </c>
      <c r="F277" s="74"/>
    </row>
    <row r="278" spans="1:22" hidden="1" x14ac:dyDescent="0.25">
      <c r="F278" s="74"/>
    </row>
    <row r="279" spans="1:22" ht="15" hidden="1" x14ac:dyDescent="0.4">
      <c r="B279" s="190" t="s">
        <v>16</v>
      </c>
      <c r="D279" s="191" t="s">
        <v>26</v>
      </c>
      <c r="F279" s="393" t="s">
        <v>17</v>
      </c>
      <c r="G279" s="394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</row>
    <row r="280" spans="1:22" ht="15" hidden="1" x14ac:dyDescent="0.4">
      <c r="D280" s="191"/>
      <c r="F280" s="74"/>
    </row>
    <row r="281" spans="1:22" hidden="1" x14ac:dyDescent="0.25">
      <c r="F281" s="74"/>
    </row>
    <row r="282" spans="1:22" hidden="1" x14ac:dyDescent="0.25">
      <c r="F282" s="74"/>
    </row>
    <row r="283" spans="1:22" hidden="1" x14ac:dyDescent="0.25">
      <c r="F283" s="74"/>
    </row>
    <row r="284" spans="1:22" hidden="1" x14ac:dyDescent="0.25">
      <c r="F284" s="74"/>
    </row>
    <row r="285" spans="1:22" hidden="1" x14ac:dyDescent="0.25">
      <c r="F285" s="74"/>
    </row>
    <row r="286" spans="1:22" x14ac:dyDescent="0.25">
      <c r="F286" s="74"/>
    </row>
    <row r="287" spans="1:22" x14ac:dyDescent="0.25">
      <c r="F287" s="74"/>
    </row>
    <row r="288" spans="1:22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  <row r="1889" spans="6:6" x14ac:dyDescent="0.25">
      <c r="F1889" s="74"/>
    </row>
    <row r="1890" spans="6:6" x14ac:dyDescent="0.25">
      <c r="F1890" s="74"/>
    </row>
    <row r="1891" spans="6:6" x14ac:dyDescent="0.25">
      <c r="F1891" s="74"/>
    </row>
    <row r="1892" spans="6:6" x14ac:dyDescent="0.25">
      <c r="F1892" s="74"/>
    </row>
    <row r="1893" spans="6:6" x14ac:dyDescent="0.25">
      <c r="F1893" s="74"/>
    </row>
  </sheetData>
  <mergeCells count="3">
    <mergeCell ref="A1:G1"/>
    <mergeCell ref="H76:Q76"/>
    <mergeCell ref="F279:G279"/>
  </mergeCells>
  <conditionalFormatting sqref="F271:V271">
    <cfRule type="cellIs" dxfId="6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0"/>
  <sheetViews>
    <sheetView view="pageBreakPreview" topLeftCell="A264" zoomScaleNormal="100" zoomScaleSheetLayoutView="100" workbookViewId="0">
      <selection activeCell="B47" sqref="B47"/>
    </sheetView>
  </sheetViews>
  <sheetFormatPr defaultColWidth="9.109375" defaultRowHeight="13.2" x14ac:dyDescent="0.25"/>
  <cols>
    <col min="1" max="1" width="7.10937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2.88671875" style="73" customWidth="1"/>
    <col min="7" max="7" width="13.109375" style="49" customWidth="1"/>
    <col min="8" max="17" width="10.109375" style="49" hidden="1" customWidth="1"/>
    <col min="18" max="19" width="13.33203125" style="49" hidden="1" customWidth="1"/>
    <col min="20" max="22" width="10.109375" style="49" hidden="1" customWidth="1"/>
    <col min="23" max="23" width="1.109375" style="49" customWidth="1"/>
    <col min="24" max="24" width="2.88671875" style="49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76">
        <v>1.41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762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840</v>
      </c>
    </row>
    <row r="11" spans="1:27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t="26.4" x14ac:dyDescent="0.25">
      <c r="A47" s="110"/>
      <c r="B47" s="106" t="s">
        <v>518</v>
      </c>
      <c r="C47" s="111"/>
      <c r="D47" s="101"/>
      <c r="E47" s="102"/>
      <c r="F47" s="108">
        <v>212765.96</v>
      </c>
      <c r="G47" s="2">
        <f>F47*C4</f>
        <v>300000.0036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x14ac:dyDescent="0.25">
      <c r="A57" s="99"/>
      <c r="B57" s="104" t="s">
        <v>167</v>
      </c>
      <c r="C57" s="100"/>
      <c r="D57" s="101"/>
      <c r="E57" s="102"/>
      <c r="F57" s="4">
        <f>SUM(F47:F56)</f>
        <v>212765.96</v>
      </c>
      <c r="G57" s="2">
        <f>SUM(G47:G56)</f>
        <v>300000.0036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212765.96</v>
      </c>
      <c r="G73" s="43">
        <f>SUM(G28+G42+G43+G57+G71)</f>
        <v>300000.0036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x14ac:dyDescent="0.25">
      <c r="A83" s="136" t="s">
        <v>80</v>
      </c>
      <c r="B83" s="57" t="s">
        <v>519</v>
      </c>
      <c r="C83" s="21" t="s">
        <v>373</v>
      </c>
      <c r="D83" s="25">
        <v>12</v>
      </c>
      <c r="E83" s="18">
        <f>(6200*0.708)</f>
        <v>4389.5999999999995</v>
      </c>
      <c r="F83" s="48">
        <f>D83*E83*0.3</f>
        <v>15802.559999999998</v>
      </c>
      <c r="G83" s="318">
        <f>F83*C4</f>
        <v>22281.609599999996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52" si="0">R83-F83</f>
        <v>-15802.559999999998</v>
      </c>
      <c r="T83" s="231">
        <f t="shared" ref="T83:T152" si="1">IF(F83=0,0,S83/F83)</f>
        <v>-1</v>
      </c>
      <c r="U83" s="225">
        <f t="shared" ref="U83:U152" si="2">R83*$C$4</f>
        <v>0</v>
      </c>
      <c r="V83" s="225">
        <f t="shared" ref="V83:V152" si="3">U83-G83</f>
        <v>-22281.609599999996</v>
      </c>
      <c r="W83" s="231">
        <f t="shared" ref="W83:W152" si="4">IF(G83=0,0,V83/G83)</f>
        <v>-1</v>
      </c>
      <c r="X83" s="231"/>
    </row>
    <row r="84" spans="1:24" s="339" customFormat="1" x14ac:dyDescent="0.25">
      <c r="A84" s="373" t="s">
        <v>83</v>
      </c>
      <c r="B84" s="21" t="s">
        <v>843</v>
      </c>
      <c r="C84" s="21" t="s">
        <v>373</v>
      </c>
      <c r="D84" s="25">
        <v>12</v>
      </c>
      <c r="E84" s="18">
        <v>1500</v>
      </c>
      <c r="F84" s="374">
        <f>D84*E84*0.55</f>
        <v>9900</v>
      </c>
      <c r="G84" s="375">
        <f>F84*C4</f>
        <v>13959</v>
      </c>
      <c r="H84" s="340"/>
      <c r="I84" s="340"/>
      <c r="J84" s="340"/>
      <c r="K84" s="340"/>
      <c r="L84" s="340"/>
      <c r="M84" s="340"/>
      <c r="N84" s="340"/>
      <c r="O84" s="340"/>
      <c r="P84" s="340"/>
      <c r="Q84" s="341"/>
      <c r="R84" s="342"/>
      <c r="S84" s="343">
        <f t="shared" si="0"/>
        <v>-9900</v>
      </c>
      <c r="T84" s="344">
        <f t="shared" si="1"/>
        <v>-1</v>
      </c>
      <c r="U84" s="343">
        <f t="shared" si="2"/>
        <v>0</v>
      </c>
      <c r="V84" s="343">
        <f t="shared" si="3"/>
        <v>-13959</v>
      </c>
      <c r="W84" s="344">
        <f t="shared" si="4"/>
        <v>-1</v>
      </c>
      <c r="X84" s="344"/>
    </row>
    <row r="85" spans="1:24" hidden="1" x14ac:dyDescent="0.25">
      <c r="A85" s="139" t="s">
        <v>84</v>
      </c>
      <c r="B85" s="57"/>
      <c r="C85" s="21"/>
      <c r="D85" s="25"/>
      <c r="E85" s="18"/>
      <c r="F85" s="47">
        <f>D85*E85</f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0"/>
        <v>0</v>
      </c>
      <c r="T85" s="231">
        <f t="shared" si="1"/>
        <v>0</v>
      </c>
      <c r="U85" s="225">
        <f t="shared" si="2"/>
        <v>0</v>
      </c>
      <c r="V85" s="225">
        <f t="shared" si="3"/>
        <v>0</v>
      </c>
      <c r="W85" s="231">
        <f t="shared" si="4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>D86*E86</f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0"/>
        <v>0</v>
      </c>
      <c r="T86" s="231">
        <f t="shared" si="1"/>
        <v>0</v>
      </c>
      <c r="U86" s="225">
        <f t="shared" si="2"/>
        <v>0</v>
      </c>
      <c r="V86" s="225">
        <f t="shared" si="3"/>
        <v>0</v>
      </c>
      <c r="W86" s="231">
        <f t="shared" si="4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>D87*E87</f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0"/>
        <v>0</v>
      </c>
      <c r="T87" s="231">
        <f t="shared" si="1"/>
        <v>0</v>
      </c>
      <c r="U87" s="225">
        <f t="shared" si="2"/>
        <v>0</v>
      </c>
      <c r="V87" s="225">
        <f t="shared" si="3"/>
        <v>0</v>
      </c>
      <c r="W87" s="231">
        <f t="shared" si="4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>D88*E88</f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0"/>
        <v>0</v>
      </c>
      <c r="T88" s="231">
        <f t="shared" si="1"/>
        <v>0</v>
      </c>
      <c r="U88" s="225">
        <f t="shared" si="2"/>
        <v>0</v>
      </c>
      <c r="V88" s="225">
        <f t="shared" si="3"/>
        <v>0</v>
      </c>
      <c r="W88" s="231">
        <f t="shared" si="4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57" t="s">
        <v>771</v>
      </c>
      <c r="C91" s="21" t="s">
        <v>373</v>
      </c>
      <c r="D91" s="25">
        <v>12</v>
      </c>
      <c r="E91" s="18">
        <v>1600</v>
      </c>
      <c r="F91" s="48">
        <f>D91*E91*0.5</f>
        <v>9600</v>
      </c>
      <c r="G91" s="295">
        <f>F91*C4</f>
        <v>13536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0"/>
        <v>-9600</v>
      </c>
      <c r="T91" s="231">
        <f t="shared" si="1"/>
        <v>-1</v>
      </c>
      <c r="U91" s="225">
        <f t="shared" si="2"/>
        <v>0</v>
      </c>
      <c r="V91" s="225">
        <f t="shared" si="3"/>
        <v>-13536</v>
      </c>
      <c r="W91" s="231">
        <f t="shared" si="4"/>
        <v>-1</v>
      </c>
      <c r="X91" s="231"/>
    </row>
    <row r="92" spans="1:24" x14ac:dyDescent="0.25">
      <c r="A92" s="144" t="s">
        <v>88</v>
      </c>
      <c r="B92" s="57" t="s">
        <v>772</v>
      </c>
      <c r="C92" s="21" t="s">
        <v>373</v>
      </c>
      <c r="D92" s="25">
        <v>12</v>
      </c>
      <c r="E92" s="18">
        <v>625</v>
      </c>
      <c r="F92" s="48">
        <f>D92*E92*0.5</f>
        <v>3750</v>
      </c>
      <c r="G92" s="295">
        <f>F92*C4</f>
        <v>5287.5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0"/>
        <v>-3750</v>
      </c>
      <c r="T92" s="231">
        <f t="shared" si="1"/>
        <v>-1</v>
      </c>
      <c r="U92" s="225">
        <f t="shared" si="2"/>
        <v>0</v>
      </c>
      <c r="V92" s="225">
        <f t="shared" si="3"/>
        <v>-5287.5</v>
      </c>
      <c r="W92" s="231">
        <f t="shared" si="4"/>
        <v>-1</v>
      </c>
      <c r="X92" s="231"/>
    </row>
    <row r="93" spans="1:24" x14ac:dyDescent="0.25">
      <c r="A93" s="144" t="s">
        <v>89</v>
      </c>
      <c r="B93" s="57" t="s">
        <v>523</v>
      </c>
      <c r="C93" s="21" t="s">
        <v>373</v>
      </c>
      <c r="D93" s="25">
        <v>12</v>
      </c>
      <c r="E93" s="18">
        <v>625</v>
      </c>
      <c r="F93" s="48">
        <f>D93*E93</f>
        <v>7500</v>
      </c>
      <c r="G93" s="295">
        <f>F93*C4</f>
        <v>10575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0"/>
        <v>-7500</v>
      </c>
      <c r="T93" s="231">
        <f t="shared" si="1"/>
        <v>-1</v>
      </c>
      <c r="U93" s="225">
        <f t="shared" si="2"/>
        <v>0</v>
      </c>
      <c r="V93" s="225">
        <f t="shared" si="3"/>
        <v>-10575</v>
      </c>
      <c r="W93" s="231">
        <f t="shared" si="4"/>
        <v>-1</v>
      </c>
      <c r="X93" s="231"/>
    </row>
    <row r="94" spans="1:24" x14ac:dyDescent="0.25">
      <c r="A94" s="144" t="s">
        <v>90</v>
      </c>
      <c r="B94" s="57" t="s">
        <v>524</v>
      </c>
      <c r="C94" s="21" t="s">
        <v>373</v>
      </c>
      <c r="D94" s="25">
        <v>12</v>
      </c>
      <c r="E94" s="18">
        <v>1040</v>
      </c>
      <c r="F94" s="48">
        <f>D94*E94*0.5</f>
        <v>6240</v>
      </c>
      <c r="G94" s="295">
        <f>F94*C4</f>
        <v>8798.4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0"/>
        <v>-6240</v>
      </c>
      <c r="T94" s="231">
        <f t="shared" si="1"/>
        <v>-1</v>
      </c>
      <c r="U94" s="225">
        <f t="shared" si="2"/>
        <v>0</v>
      </c>
      <c r="V94" s="225">
        <f t="shared" si="3"/>
        <v>-8798.4</v>
      </c>
      <c r="W94" s="231">
        <f t="shared" si="4"/>
        <v>-1</v>
      </c>
      <c r="X94" s="231"/>
    </row>
    <row r="95" spans="1:24" x14ac:dyDescent="0.25">
      <c r="A95" s="144" t="s">
        <v>91</v>
      </c>
      <c r="B95" s="57" t="s">
        <v>773</v>
      </c>
      <c r="C95" s="21" t="s">
        <v>373</v>
      </c>
      <c r="D95" s="25">
        <v>12</v>
      </c>
      <c r="E95" s="18">
        <v>2242</v>
      </c>
      <c r="F95" s="48">
        <f>D95*E95*0.5</f>
        <v>13452</v>
      </c>
      <c r="G95" s="295">
        <f>F95*C$4</f>
        <v>18967.32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0"/>
        <v>-13452</v>
      </c>
      <c r="T95" s="231">
        <f t="shared" si="1"/>
        <v>-1</v>
      </c>
      <c r="U95" s="225">
        <f t="shared" si="2"/>
        <v>0</v>
      </c>
      <c r="V95" s="225">
        <f t="shared" si="3"/>
        <v>-18967.32</v>
      </c>
      <c r="W95" s="231">
        <f t="shared" si="4"/>
        <v>-1</v>
      </c>
      <c r="X95" s="231"/>
    </row>
    <row r="96" spans="1:24" x14ac:dyDescent="0.25">
      <c r="A96" s="144" t="s">
        <v>92</v>
      </c>
      <c r="B96" s="57" t="s">
        <v>774</v>
      </c>
      <c r="C96" s="21" t="s">
        <v>373</v>
      </c>
      <c r="D96" s="25">
        <v>12</v>
      </c>
      <c r="E96" s="18">
        <v>1145</v>
      </c>
      <c r="F96" s="48">
        <f>D96*E96</f>
        <v>13740</v>
      </c>
      <c r="G96" s="295">
        <f>F96*C$4</f>
        <v>19373.399999999998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/>
      <c r="T96" s="231"/>
      <c r="U96" s="225"/>
      <c r="V96" s="225"/>
      <c r="W96" s="231"/>
      <c r="X96" s="231"/>
    </row>
    <row r="97" spans="1:24" x14ac:dyDescent="0.25">
      <c r="A97" s="144" t="s">
        <v>520</v>
      </c>
      <c r="B97" s="57" t="s">
        <v>525</v>
      </c>
      <c r="C97" s="21" t="s">
        <v>373</v>
      </c>
      <c r="D97" s="25">
        <v>12</v>
      </c>
      <c r="E97" s="18">
        <v>500</v>
      </c>
      <c r="F97" s="48">
        <f>D97*E97*0.3</f>
        <v>1800</v>
      </c>
      <c r="G97" s="295">
        <f>F97*C$4</f>
        <v>2538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51"/>
      <c r="R97" s="262"/>
      <c r="S97" s="225"/>
      <c r="T97" s="231"/>
      <c r="U97" s="225"/>
      <c r="V97" s="225"/>
      <c r="W97" s="231"/>
      <c r="X97" s="231"/>
    </row>
    <row r="98" spans="1:24" x14ac:dyDescent="0.25">
      <c r="A98" s="144" t="s">
        <v>521</v>
      </c>
      <c r="B98" s="57" t="s">
        <v>526</v>
      </c>
      <c r="C98" s="21" t="s">
        <v>373</v>
      </c>
      <c r="D98" s="25">
        <v>12</v>
      </c>
      <c r="E98" s="18">
        <f>1830*0.708</f>
        <v>1295.6399999999999</v>
      </c>
      <c r="F98" s="48">
        <f>D98*E98*0.3</f>
        <v>4664.3039999999992</v>
      </c>
      <c r="G98" s="295">
        <f>F98*C$4</f>
        <v>6576.668639999998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51"/>
      <c r="R98" s="262"/>
      <c r="S98" s="225"/>
      <c r="T98" s="231"/>
      <c r="U98" s="225"/>
      <c r="V98" s="225"/>
      <c r="W98" s="231"/>
      <c r="X98" s="231"/>
    </row>
    <row r="99" spans="1:24" x14ac:dyDescent="0.25">
      <c r="A99" s="144" t="s">
        <v>522</v>
      </c>
      <c r="B99" s="57" t="s">
        <v>527</v>
      </c>
      <c r="C99" s="21" t="s">
        <v>515</v>
      </c>
      <c r="D99" s="25">
        <v>1</v>
      </c>
      <c r="E99" s="18">
        <v>18000</v>
      </c>
      <c r="F99" s="48">
        <f>D99*E99*0.3</f>
        <v>5400</v>
      </c>
      <c r="G99" s="295">
        <f>F99*C$4</f>
        <v>7614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51"/>
      <c r="R99" s="262"/>
      <c r="S99" s="225">
        <f t="shared" si="0"/>
        <v>-5400</v>
      </c>
      <c r="T99" s="231">
        <f t="shared" si="1"/>
        <v>-1</v>
      </c>
      <c r="U99" s="225">
        <f t="shared" si="2"/>
        <v>0</v>
      </c>
      <c r="V99" s="225">
        <f t="shared" si="3"/>
        <v>-7614</v>
      </c>
      <c r="W99" s="231">
        <f t="shared" si="4"/>
        <v>-1</v>
      </c>
      <c r="X99" s="231"/>
    </row>
    <row r="100" spans="1:24" x14ac:dyDescent="0.25">
      <c r="A100" s="87"/>
      <c r="B100" s="145"/>
      <c r="C100" s="10"/>
      <c r="D100" s="11"/>
      <c r="E100" s="12"/>
      <c r="F100" s="48"/>
      <c r="G100" s="87"/>
      <c r="H100" s="241"/>
      <c r="I100" s="241"/>
      <c r="J100" s="241"/>
      <c r="K100" s="241"/>
      <c r="L100" s="241"/>
      <c r="M100" s="241"/>
      <c r="N100" s="241"/>
      <c r="O100" s="241"/>
      <c r="P100" s="241"/>
      <c r="Q100" s="252"/>
      <c r="R100" s="258"/>
      <c r="S100" s="225"/>
      <c r="T100" s="231"/>
      <c r="U100" s="225"/>
      <c r="V100" s="225"/>
      <c r="W100" s="231"/>
      <c r="X100" s="231"/>
    </row>
    <row r="101" spans="1:24" hidden="1" x14ac:dyDescent="0.25">
      <c r="A101" s="194"/>
      <c r="B101" s="195" t="s">
        <v>187</v>
      </c>
      <c r="C101" s="196"/>
      <c r="D101" s="197"/>
      <c r="E101" s="198"/>
      <c r="F101" s="199">
        <f>SUM(F83:F89)</f>
        <v>25702.559999999998</v>
      </c>
      <c r="G101" s="194">
        <f>SUM(G83:G89)</f>
        <v>36240.609599999996</v>
      </c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>
        <f t="shared" si="0"/>
        <v>-25702.559999999998</v>
      </c>
      <c r="T101" s="231">
        <f t="shared" si="1"/>
        <v>-1</v>
      </c>
      <c r="U101" s="225">
        <f t="shared" si="2"/>
        <v>0</v>
      </c>
      <c r="V101" s="225">
        <f t="shared" si="3"/>
        <v>-36240.609599999996</v>
      </c>
      <c r="W101" s="231">
        <f t="shared" si="4"/>
        <v>-1</v>
      </c>
      <c r="X101" s="231"/>
    </row>
    <row r="102" spans="1:24" hidden="1" x14ac:dyDescent="0.25">
      <c r="A102" s="194"/>
      <c r="B102" s="195" t="s">
        <v>186</v>
      </c>
      <c r="C102" s="196"/>
      <c r="D102" s="197"/>
      <c r="E102" s="198"/>
      <c r="F102" s="199">
        <f>SUM(F91:F100)</f>
        <v>66146.304000000004</v>
      </c>
      <c r="G102" s="194">
        <f>SUM(G91:G100)</f>
        <v>93266.288639999999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58"/>
      <c r="S102" s="225">
        <f t="shared" si="0"/>
        <v>-66146.304000000004</v>
      </c>
      <c r="T102" s="231">
        <f t="shared" si="1"/>
        <v>-1</v>
      </c>
      <c r="U102" s="225">
        <f t="shared" si="2"/>
        <v>0</v>
      </c>
      <c r="V102" s="225">
        <f t="shared" si="3"/>
        <v>-93266.288639999999</v>
      </c>
      <c r="W102" s="231">
        <f t="shared" si="4"/>
        <v>-1</v>
      </c>
      <c r="X102" s="231"/>
    </row>
    <row r="103" spans="1:24" ht="13.8" thickBot="1" x14ac:dyDescent="0.3">
      <c r="A103" s="99"/>
      <c r="B103" s="146" t="s">
        <v>79</v>
      </c>
      <c r="C103" s="118"/>
      <c r="D103" s="122"/>
      <c r="E103" s="123"/>
      <c r="F103" s="50">
        <f>SUM(F83:F100)</f>
        <v>91848.864000000001</v>
      </c>
      <c r="G103" s="50">
        <f>SUM(G83:G100)</f>
        <v>129506.89823999999</v>
      </c>
      <c r="H103" s="244"/>
      <c r="I103" s="244"/>
      <c r="J103" s="244"/>
      <c r="K103" s="244"/>
      <c r="L103" s="244"/>
      <c r="M103" s="244"/>
      <c r="N103" s="244"/>
      <c r="O103" s="244"/>
      <c r="P103" s="244"/>
      <c r="Q103" s="253"/>
      <c r="R103" s="263"/>
      <c r="S103" s="237">
        <f t="shared" si="0"/>
        <v>-91848.864000000001</v>
      </c>
      <c r="T103" s="238">
        <f t="shared" si="1"/>
        <v>-1</v>
      </c>
      <c r="U103" s="237">
        <f t="shared" si="2"/>
        <v>0</v>
      </c>
      <c r="V103" s="237">
        <f t="shared" si="3"/>
        <v>-129506.89823999999</v>
      </c>
      <c r="W103" s="238">
        <f t="shared" si="4"/>
        <v>-1</v>
      </c>
      <c r="X103" s="238"/>
    </row>
    <row r="104" spans="1:24" ht="13.8" thickTop="1" x14ac:dyDescent="0.25">
      <c r="A104" s="87"/>
      <c r="B104" s="70"/>
      <c r="C104" s="81"/>
      <c r="D104" s="82"/>
      <c r="E104" s="86"/>
      <c r="F104" s="86"/>
      <c r="G104" s="87"/>
      <c r="H104" s="241"/>
      <c r="I104" s="241"/>
      <c r="J104" s="241"/>
      <c r="K104" s="241"/>
      <c r="L104" s="241"/>
      <c r="M104" s="241"/>
      <c r="N104" s="241"/>
      <c r="O104" s="241"/>
      <c r="P104" s="241"/>
      <c r="Q104" s="252"/>
      <c r="R104" s="258"/>
      <c r="S104" s="225"/>
      <c r="T104" s="231"/>
      <c r="U104" s="225"/>
      <c r="V104" s="225"/>
      <c r="W104" s="231"/>
      <c r="X104" s="231"/>
    </row>
    <row r="105" spans="1:24" x14ac:dyDescent="0.25">
      <c r="A105" s="125">
        <v>2</v>
      </c>
      <c r="B105" s="126" t="s">
        <v>93</v>
      </c>
      <c r="C105" s="130"/>
      <c r="D105" s="129"/>
      <c r="E105" s="131"/>
      <c r="F105" s="131"/>
      <c r="G105" s="147"/>
      <c r="H105" s="241"/>
      <c r="I105" s="241"/>
      <c r="J105" s="241"/>
      <c r="K105" s="241"/>
      <c r="L105" s="241"/>
      <c r="M105" s="241"/>
      <c r="N105" s="241"/>
      <c r="O105" s="241"/>
      <c r="P105" s="241"/>
      <c r="Q105" s="252"/>
      <c r="R105" s="260"/>
      <c r="S105" s="230"/>
      <c r="T105" s="232"/>
      <c r="U105" s="230"/>
      <c r="V105" s="230"/>
      <c r="W105" s="232"/>
      <c r="X105" s="232"/>
    </row>
    <row r="106" spans="1:24" x14ac:dyDescent="0.25">
      <c r="A106" s="220" t="s">
        <v>94</v>
      </c>
      <c r="B106" s="221" t="s">
        <v>66</v>
      </c>
      <c r="C106" s="210"/>
      <c r="D106" s="211"/>
      <c r="E106" s="212"/>
      <c r="F106" s="208">
        <f>SUM(F107:F111)</f>
        <v>93700</v>
      </c>
      <c r="G106" s="315">
        <f>SUM(G107:G111)</f>
        <v>132117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39">
        <f t="shared" si="0"/>
        <v>-93700</v>
      </c>
      <c r="T106" s="240">
        <f t="shared" si="1"/>
        <v>-1</v>
      </c>
      <c r="U106" s="239">
        <f t="shared" si="2"/>
        <v>0</v>
      </c>
      <c r="V106" s="239">
        <f t="shared" si="3"/>
        <v>-132117</v>
      </c>
      <c r="W106" s="240">
        <f t="shared" si="4"/>
        <v>-1</v>
      </c>
      <c r="X106" s="240"/>
    </row>
    <row r="107" spans="1:24" x14ac:dyDescent="0.25">
      <c r="A107" s="148" t="s">
        <v>195</v>
      </c>
      <c r="B107" s="106" t="s">
        <v>528</v>
      </c>
      <c r="C107" s="28" t="s">
        <v>373</v>
      </c>
      <c r="D107" s="281">
        <v>3</v>
      </c>
      <c r="E107" s="282">
        <f>200*150</f>
        <v>30000</v>
      </c>
      <c r="F107" s="48">
        <f>D107*E107</f>
        <v>90000</v>
      </c>
      <c r="G107" s="295">
        <f>F107*C4</f>
        <v>126900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0"/>
        <v>-90000</v>
      </c>
      <c r="T107" s="231">
        <f t="shared" si="1"/>
        <v>-1</v>
      </c>
      <c r="U107" s="225">
        <f t="shared" si="2"/>
        <v>0</v>
      </c>
      <c r="V107" s="225">
        <f t="shared" si="3"/>
        <v>-126900</v>
      </c>
      <c r="W107" s="231">
        <f t="shared" si="4"/>
        <v>-1</v>
      </c>
      <c r="X107" s="231"/>
    </row>
    <row r="108" spans="1:24" x14ac:dyDescent="0.25">
      <c r="A108" s="148" t="s">
        <v>196</v>
      </c>
      <c r="B108" s="106" t="s">
        <v>529</v>
      </c>
      <c r="C108" s="28" t="s">
        <v>429</v>
      </c>
      <c r="D108" s="281">
        <v>10</v>
      </c>
      <c r="E108" s="282">
        <v>100</v>
      </c>
      <c r="F108" s="48">
        <f>D108*E108</f>
        <v>1000</v>
      </c>
      <c r="G108" s="295">
        <f>F108*C4</f>
        <v>1410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0"/>
        <v>-1000</v>
      </c>
      <c r="T108" s="231">
        <f t="shared" si="1"/>
        <v>-1</v>
      </c>
      <c r="U108" s="225">
        <f t="shared" si="2"/>
        <v>0</v>
      </c>
      <c r="V108" s="225">
        <f t="shared" si="3"/>
        <v>-1410</v>
      </c>
      <c r="W108" s="231">
        <f t="shared" si="4"/>
        <v>-1</v>
      </c>
      <c r="X108" s="231"/>
    </row>
    <row r="109" spans="1:24" ht="26.4" x14ac:dyDescent="0.25">
      <c r="A109" s="148" t="s">
        <v>197</v>
      </c>
      <c r="B109" s="106" t="s">
        <v>530</v>
      </c>
      <c r="C109" s="28" t="s">
        <v>482</v>
      </c>
      <c r="D109" s="281">
        <f>15*10</f>
        <v>150</v>
      </c>
      <c r="E109" s="282">
        <v>18</v>
      </c>
      <c r="F109" s="48">
        <f>D109*E109</f>
        <v>2700</v>
      </c>
      <c r="G109" s="295">
        <f>F109*C4</f>
        <v>3807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25">
        <f t="shared" si="0"/>
        <v>-2700</v>
      </c>
      <c r="T109" s="231">
        <f t="shared" si="1"/>
        <v>-1</v>
      </c>
      <c r="U109" s="225">
        <f t="shared" si="2"/>
        <v>0</v>
      </c>
      <c r="V109" s="225">
        <f t="shared" si="3"/>
        <v>-3807</v>
      </c>
      <c r="W109" s="231">
        <f t="shared" si="4"/>
        <v>-1</v>
      </c>
      <c r="X109" s="231"/>
    </row>
    <row r="110" spans="1:24" hidden="1" x14ac:dyDescent="0.25">
      <c r="A110" s="148" t="s">
        <v>198</v>
      </c>
      <c r="B110" s="106" t="s">
        <v>252</v>
      </c>
      <c r="C110" s="28"/>
      <c r="D110" s="29"/>
      <c r="E110" s="30"/>
      <c r="F110" s="48">
        <f>D110*E110</f>
        <v>0</v>
      </c>
      <c r="G110" s="295">
        <f>F110*C4</f>
        <v>0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0"/>
        <v>0</v>
      </c>
      <c r="T110" s="231">
        <f t="shared" si="1"/>
        <v>0</v>
      </c>
      <c r="U110" s="225">
        <f t="shared" si="2"/>
        <v>0</v>
      </c>
      <c r="V110" s="225">
        <f t="shared" si="3"/>
        <v>0</v>
      </c>
      <c r="W110" s="231">
        <f t="shared" si="4"/>
        <v>0</v>
      </c>
      <c r="X110" s="231"/>
    </row>
    <row r="111" spans="1:24" hidden="1" x14ac:dyDescent="0.25">
      <c r="A111" s="148" t="s">
        <v>199</v>
      </c>
      <c r="B111" s="106" t="s">
        <v>253</v>
      </c>
      <c r="C111" s="28"/>
      <c r="D111" s="29"/>
      <c r="E111" s="30"/>
      <c r="F111" s="48">
        <f>D111*E111</f>
        <v>0</v>
      </c>
      <c r="G111" s="295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0"/>
        <v>0</v>
      </c>
      <c r="T111" s="231">
        <f t="shared" si="1"/>
        <v>0</v>
      </c>
      <c r="U111" s="225">
        <f t="shared" si="2"/>
        <v>0</v>
      </c>
      <c r="V111" s="225">
        <f t="shared" si="3"/>
        <v>0</v>
      </c>
      <c r="W111" s="231">
        <f t="shared" si="4"/>
        <v>0</v>
      </c>
      <c r="X111" s="231"/>
    </row>
    <row r="112" spans="1:24" x14ac:dyDescent="0.25">
      <c r="A112" s="220" t="s">
        <v>95</v>
      </c>
      <c r="B112" s="221" t="s">
        <v>55</v>
      </c>
      <c r="C112" s="210"/>
      <c r="D112" s="211"/>
      <c r="E112" s="212"/>
      <c r="F112" s="208">
        <f>SUM(F113:F117)</f>
        <v>65100</v>
      </c>
      <c r="G112" s="315">
        <f>SUM(G113:G117)</f>
        <v>91791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39">
        <f t="shared" si="0"/>
        <v>-65100</v>
      </c>
      <c r="T112" s="240">
        <f t="shared" si="1"/>
        <v>-1</v>
      </c>
      <c r="U112" s="239">
        <f t="shared" si="2"/>
        <v>0</v>
      </c>
      <c r="V112" s="239">
        <f t="shared" si="3"/>
        <v>-91791</v>
      </c>
      <c r="W112" s="240">
        <f t="shared" si="4"/>
        <v>-1</v>
      </c>
      <c r="X112" s="240"/>
    </row>
    <row r="113" spans="1:24" x14ac:dyDescent="0.25">
      <c r="A113" s="148" t="s">
        <v>200</v>
      </c>
      <c r="B113" s="106" t="s">
        <v>531</v>
      </c>
      <c r="C113" s="28" t="s">
        <v>532</v>
      </c>
      <c r="D113" s="281">
        <v>200</v>
      </c>
      <c r="E113" s="282">
        <v>40</v>
      </c>
      <c r="F113" s="48">
        <f>D113*E113</f>
        <v>8000</v>
      </c>
      <c r="G113" s="295">
        <f>F113*C4</f>
        <v>11280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0"/>
        <v>-8000</v>
      </c>
      <c r="T113" s="231">
        <f t="shared" si="1"/>
        <v>-1</v>
      </c>
      <c r="U113" s="225">
        <f t="shared" si="2"/>
        <v>0</v>
      </c>
      <c r="V113" s="225">
        <f t="shared" si="3"/>
        <v>-11280</v>
      </c>
      <c r="W113" s="231">
        <f t="shared" si="4"/>
        <v>-1</v>
      </c>
      <c r="X113" s="231"/>
    </row>
    <row r="114" spans="1:24" ht="26.4" x14ac:dyDescent="0.25">
      <c r="A114" s="148" t="s">
        <v>201</v>
      </c>
      <c r="B114" s="106" t="s">
        <v>533</v>
      </c>
      <c r="C114" s="28" t="s">
        <v>534</v>
      </c>
      <c r="D114" s="281">
        <f>150*3</f>
        <v>450</v>
      </c>
      <c r="E114" s="282">
        <v>35</v>
      </c>
      <c r="F114" s="48">
        <f>D114*E114</f>
        <v>15750</v>
      </c>
      <c r="G114" s="295">
        <f>F114*C4</f>
        <v>22207.5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0"/>
        <v>-15750</v>
      </c>
      <c r="T114" s="231">
        <f t="shared" si="1"/>
        <v>-1</v>
      </c>
      <c r="U114" s="225">
        <f t="shared" si="2"/>
        <v>0</v>
      </c>
      <c r="V114" s="225">
        <f t="shared" si="3"/>
        <v>-22207.5</v>
      </c>
      <c r="W114" s="231">
        <f t="shared" si="4"/>
        <v>-1</v>
      </c>
      <c r="X114" s="231"/>
    </row>
    <row r="115" spans="1:24" x14ac:dyDescent="0.25">
      <c r="A115" s="148" t="s">
        <v>202</v>
      </c>
      <c r="B115" s="106" t="s">
        <v>535</v>
      </c>
      <c r="C115" s="28" t="s">
        <v>534</v>
      </c>
      <c r="D115" s="281">
        <f>150*3</f>
        <v>450</v>
      </c>
      <c r="E115" s="282">
        <v>3</v>
      </c>
      <c r="F115" s="48">
        <f>D115*E115</f>
        <v>1350</v>
      </c>
      <c r="G115" s="295">
        <f>F115*C4</f>
        <v>1903.5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25">
        <f t="shared" si="0"/>
        <v>-1350</v>
      </c>
      <c r="T115" s="231">
        <f t="shared" si="1"/>
        <v>-1</v>
      </c>
      <c r="U115" s="225">
        <f t="shared" si="2"/>
        <v>0</v>
      </c>
      <c r="V115" s="225">
        <f t="shared" si="3"/>
        <v>-1903.5</v>
      </c>
      <c r="W115" s="231">
        <f t="shared" si="4"/>
        <v>-1</v>
      </c>
      <c r="X115" s="231"/>
    </row>
    <row r="116" spans="1:24" x14ac:dyDescent="0.25">
      <c r="A116" s="148" t="s">
        <v>203</v>
      </c>
      <c r="B116" s="106" t="s">
        <v>536</v>
      </c>
      <c r="C116" s="28" t="s">
        <v>537</v>
      </c>
      <c r="D116" s="281">
        <v>50</v>
      </c>
      <c r="E116" s="282">
        <v>650</v>
      </c>
      <c r="F116" s="48">
        <f>D116*E116</f>
        <v>32500</v>
      </c>
      <c r="G116" s="295">
        <f>F116*C4</f>
        <v>45825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0"/>
        <v>-32500</v>
      </c>
      <c r="T116" s="231">
        <f t="shared" si="1"/>
        <v>-1</v>
      </c>
      <c r="U116" s="225">
        <f t="shared" si="2"/>
        <v>0</v>
      </c>
      <c r="V116" s="225">
        <f t="shared" si="3"/>
        <v>-45825</v>
      </c>
      <c r="W116" s="231">
        <f t="shared" si="4"/>
        <v>-1</v>
      </c>
      <c r="X116" s="231"/>
    </row>
    <row r="117" spans="1:24" x14ac:dyDescent="0.25">
      <c r="A117" s="148" t="s">
        <v>204</v>
      </c>
      <c r="B117" s="106" t="s">
        <v>538</v>
      </c>
      <c r="C117" s="28" t="s">
        <v>429</v>
      </c>
      <c r="D117" s="281">
        <v>25</v>
      </c>
      <c r="E117" s="282">
        <v>300</v>
      </c>
      <c r="F117" s="48">
        <f>D117*E117</f>
        <v>7500</v>
      </c>
      <c r="G117" s="295">
        <f>F117*C4</f>
        <v>10575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0"/>
        <v>-7500</v>
      </c>
      <c r="T117" s="231">
        <f t="shared" si="1"/>
        <v>-1</v>
      </c>
      <c r="U117" s="225">
        <f t="shared" si="2"/>
        <v>0</v>
      </c>
      <c r="V117" s="225">
        <f t="shared" si="3"/>
        <v>-10575</v>
      </c>
      <c r="W117" s="231">
        <f t="shared" si="4"/>
        <v>-1</v>
      </c>
      <c r="X117" s="231"/>
    </row>
    <row r="118" spans="1:24" hidden="1" x14ac:dyDescent="0.25">
      <c r="A118" s="220" t="s">
        <v>96</v>
      </c>
      <c r="B118" s="221" t="s">
        <v>67</v>
      </c>
      <c r="C118" s="210"/>
      <c r="D118" s="211"/>
      <c r="E118" s="212"/>
      <c r="F118" s="208">
        <f>SUM(F119:F123)</f>
        <v>0</v>
      </c>
      <c r="G118" s="315">
        <f>SUM(G119:G123)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39">
        <f t="shared" si="0"/>
        <v>0</v>
      </c>
      <c r="T118" s="240">
        <f t="shared" si="1"/>
        <v>0</v>
      </c>
      <c r="U118" s="239">
        <f t="shared" si="2"/>
        <v>0</v>
      </c>
      <c r="V118" s="239">
        <f t="shared" si="3"/>
        <v>0</v>
      </c>
      <c r="W118" s="240">
        <f t="shared" si="4"/>
        <v>0</v>
      </c>
      <c r="X118" s="240"/>
    </row>
    <row r="119" spans="1:24" hidden="1" x14ac:dyDescent="0.25">
      <c r="A119" s="148" t="s">
        <v>205</v>
      </c>
      <c r="B119" s="106" t="s">
        <v>259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0"/>
        <v>0</v>
      </c>
      <c r="T119" s="231">
        <f t="shared" si="1"/>
        <v>0</v>
      </c>
      <c r="U119" s="225">
        <f t="shared" si="2"/>
        <v>0</v>
      </c>
      <c r="V119" s="225">
        <f t="shared" si="3"/>
        <v>0</v>
      </c>
      <c r="W119" s="231">
        <f t="shared" si="4"/>
        <v>0</v>
      </c>
      <c r="X119" s="231"/>
    </row>
    <row r="120" spans="1:24" hidden="1" x14ac:dyDescent="0.25">
      <c r="A120" s="148" t="s">
        <v>206</v>
      </c>
      <c r="B120" s="106" t="s">
        <v>260</v>
      </c>
      <c r="C120" s="28"/>
      <c r="D120" s="29"/>
      <c r="E120" s="30"/>
      <c r="F120" s="48">
        <f>D120*E120</f>
        <v>0</v>
      </c>
      <c r="G120" s="295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0"/>
        <v>0</v>
      </c>
      <c r="T120" s="231">
        <f t="shared" si="1"/>
        <v>0</v>
      </c>
      <c r="U120" s="225">
        <f t="shared" si="2"/>
        <v>0</v>
      </c>
      <c r="V120" s="225">
        <f t="shared" si="3"/>
        <v>0</v>
      </c>
      <c r="W120" s="231">
        <f t="shared" si="4"/>
        <v>0</v>
      </c>
      <c r="X120" s="231"/>
    </row>
    <row r="121" spans="1:24" hidden="1" x14ac:dyDescent="0.25">
      <c r="A121" s="148" t="s">
        <v>207</v>
      </c>
      <c r="B121" s="106" t="s">
        <v>261</v>
      </c>
      <c r="C121" s="28"/>
      <c r="D121" s="29"/>
      <c r="E121" s="30"/>
      <c r="F121" s="48">
        <f>D121*E121</f>
        <v>0</v>
      </c>
      <c r="G121" s="295">
        <f>F121*C4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25">
        <f t="shared" si="0"/>
        <v>0</v>
      </c>
      <c r="T121" s="231">
        <f t="shared" si="1"/>
        <v>0</v>
      </c>
      <c r="U121" s="225">
        <f t="shared" si="2"/>
        <v>0</v>
      </c>
      <c r="V121" s="225">
        <f t="shared" si="3"/>
        <v>0</v>
      </c>
      <c r="W121" s="231">
        <f t="shared" si="4"/>
        <v>0</v>
      </c>
      <c r="X121" s="231"/>
    </row>
    <row r="122" spans="1:24" hidden="1" x14ac:dyDescent="0.25">
      <c r="A122" s="148" t="s">
        <v>208</v>
      </c>
      <c r="B122" s="106" t="s">
        <v>262</v>
      </c>
      <c r="C122" s="28"/>
      <c r="D122" s="29"/>
      <c r="E122" s="30"/>
      <c r="F122" s="48">
        <f>D122*E122</f>
        <v>0</v>
      </c>
      <c r="G122" s="295">
        <f>F122*C4</f>
        <v>0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0"/>
        <v>0</v>
      </c>
      <c r="T122" s="231">
        <f t="shared" si="1"/>
        <v>0</v>
      </c>
      <c r="U122" s="225">
        <f t="shared" si="2"/>
        <v>0</v>
      </c>
      <c r="V122" s="225">
        <f t="shared" si="3"/>
        <v>0</v>
      </c>
      <c r="W122" s="231">
        <f t="shared" si="4"/>
        <v>0</v>
      </c>
      <c r="X122" s="231"/>
    </row>
    <row r="123" spans="1:24" hidden="1" x14ac:dyDescent="0.25">
      <c r="A123" s="148" t="s">
        <v>209</v>
      </c>
      <c r="B123" s="106" t="s">
        <v>263</v>
      </c>
      <c r="C123" s="28"/>
      <c r="D123" s="29"/>
      <c r="E123" s="30"/>
      <c r="F123" s="48">
        <f>D123*E123</f>
        <v>0</v>
      </c>
      <c r="G123" s="295">
        <f>F123*C4</f>
        <v>0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0"/>
        <v>0</v>
      </c>
      <c r="T123" s="231">
        <f t="shared" si="1"/>
        <v>0</v>
      </c>
      <c r="U123" s="225">
        <f t="shared" si="2"/>
        <v>0</v>
      </c>
      <c r="V123" s="225">
        <f t="shared" si="3"/>
        <v>0</v>
      </c>
      <c r="W123" s="231">
        <f t="shared" si="4"/>
        <v>0</v>
      </c>
      <c r="X123" s="231"/>
    </row>
    <row r="124" spans="1:24" x14ac:dyDescent="0.25">
      <c r="A124" s="220" t="s">
        <v>97</v>
      </c>
      <c r="B124" s="221" t="s">
        <v>68</v>
      </c>
      <c r="C124" s="210"/>
      <c r="D124" s="211"/>
      <c r="E124" s="212"/>
      <c r="F124" s="208">
        <f>SUM(F125:F129)</f>
        <v>28500</v>
      </c>
      <c r="G124" s="315">
        <f>SUM(G125:G129)</f>
        <v>40185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39">
        <f t="shared" si="0"/>
        <v>-28500</v>
      </c>
      <c r="T124" s="240">
        <f t="shared" si="1"/>
        <v>-1</v>
      </c>
      <c r="U124" s="239">
        <f t="shared" si="2"/>
        <v>0</v>
      </c>
      <c r="V124" s="239">
        <f t="shared" si="3"/>
        <v>-40185</v>
      </c>
      <c r="W124" s="240">
        <f t="shared" si="4"/>
        <v>-1</v>
      </c>
      <c r="X124" s="240"/>
    </row>
    <row r="125" spans="1:24" ht="26.4" x14ac:dyDescent="0.25">
      <c r="A125" s="148" t="s">
        <v>210</v>
      </c>
      <c r="B125" s="106" t="s">
        <v>539</v>
      </c>
      <c r="C125" s="28" t="s">
        <v>429</v>
      </c>
      <c r="D125" s="281">
        <v>20</v>
      </c>
      <c r="E125" s="282">
        <v>300</v>
      </c>
      <c r="F125" s="48">
        <f>D125*E125</f>
        <v>6000</v>
      </c>
      <c r="G125" s="295">
        <f>F125*C4</f>
        <v>8460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0"/>
        <v>-6000</v>
      </c>
      <c r="T125" s="231">
        <f t="shared" si="1"/>
        <v>-1</v>
      </c>
      <c r="U125" s="225">
        <f t="shared" si="2"/>
        <v>0</v>
      </c>
      <c r="V125" s="225">
        <f t="shared" si="3"/>
        <v>-8460</v>
      </c>
      <c r="W125" s="231">
        <f t="shared" si="4"/>
        <v>-1</v>
      </c>
      <c r="X125" s="231"/>
    </row>
    <row r="126" spans="1:24" ht="26.4" x14ac:dyDescent="0.25">
      <c r="A126" s="148" t="s">
        <v>211</v>
      </c>
      <c r="B126" s="106" t="s">
        <v>540</v>
      </c>
      <c r="C126" s="28" t="s">
        <v>429</v>
      </c>
      <c r="D126" s="281">
        <v>20</v>
      </c>
      <c r="E126" s="282">
        <v>300</v>
      </c>
      <c r="F126" s="48">
        <f>D126*E126</f>
        <v>6000</v>
      </c>
      <c r="G126" s="295">
        <f>F126*C4</f>
        <v>8460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0"/>
        <v>-6000</v>
      </c>
      <c r="T126" s="231">
        <f t="shared" si="1"/>
        <v>-1</v>
      </c>
      <c r="U126" s="225">
        <f t="shared" si="2"/>
        <v>0</v>
      </c>
      <c r="V126" s="225">
        <f t="shared" si="3"/>
        <v>-8460</v>
      </c>
      <c r="W126" s="231">
        <f t="shared" si="4"/>
        <v>-1</v>
      </c>
      <c r="X126" s="231"/>
    </row>
    <row r="127" spans="1:24" ht="26.4" x14ac:dyDescent="0.25">
      <c r="A127" s="148" t="s">
        <v>212</v>
      </c>
      <c r="B127" s="106" t="s">
        <v>541</v>
      </c>
      <c r="C127" s="28" t="s">
        <v>429</v>
      </c>
      <c r="D127" s="281">
        <v>15</v>
      </c>
      <c r="E127" s="282">
        <v>300</v>
      </c>
      <c r="F127" s="48">
        <f>D127*E127</f>
        <v>4500</v>
      </c>
      <c r="G127" s="295">
        <f>F127*C4</f>
        <v>6345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25">
        <f t="shared" si="0"/>
        <v>-4500</v>
      </c>
      <c r="T127" s="231">
        <f t="shared" si="1"/>
        <v>-1</v>
      </c>
      <c r="U127" s="225">
        <f t="shared" si="2"/>
        <v>0</v>
      </c>
      <c r="V127" s="225">
        <f t="shared" si="3"/>
        <v>-6345</v>
      </c>
      <c r="W127" s="231">
        <f t="shared" si="4"/>
        <v>-1</v>
      </c>
      <c r="X127" s="231"/>
    </row>
    <row r="128" spans="1:24" ht="26.4" x14ac:dyDescent="0.25">
      <c r="A128" s="148" t="s">
        <v>213</v>
      </c>
      <c r="B128" s="106" t="s">
        <v>542</v>
      </c>
      <c r="C128" s="28" t="s">
        <v>429</v>
      </c>
      <c r="D128" s="281">
        <v>25</v>
      </c>
      <c r="E128" s="282">
        <v>300</v>
      </c>
      <c r="F128" s="48">
        <f>D128*E128</f>
        <v>7500</v>
      </c>
      <c r="G128" s="295">
        <f>F128*C4</f>
        <v>10575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0"/>
        <v>-7500</v>
      </c>
      <c r="T128" s="231">
        <f t="shared" si="1"/>
        <v>-1</v>
      </c>
      <c r="U128" s="225">
        <f t="shared" si="2"/>
        <v>0</v>
      </c>
      <c r="V128" s="225">
        <f t="shared" si="3"/>
        <v>-10575</v>
      </c>
      <c r="W128" s="231">
        <f t="shared" si="4"/>
        <v>-1</v>
      </c>
      <c r="X128" s="231"/>
    </row>
    <row r="129" spans="1:24" ht="26.4" x14ac:dyDescent="0.25">
      <c r="A129" s="148" t="s">
        <v>214</v>
      </c>
      <c r="B129" s="106" t="s">
        <v>543</v>
      </c>
      <c r="C129" s="28" t="s">
        <v>482</v>
      </c>
      <c r="D129" s="281">
        <f>30*10</f>
        <v>300</v>
      </c>
      <c r="E129" s="282">
        <f>15</f>
        <v>15</v>
      </c>
      <c r="F129" s="48">
        <f>D129*E129</f>
        <v>4500</v>
      </c>
      <c r="G129" s="295">
        <f>F129*C4</f>
        <v>6345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0"/>
        <v>-4500</v>
      </c>
      <c r="T129" s="231">
        <f t="shared" si="1"/>
        <v>-1</v>
      </c>
      <c r="U129" s="225">
        <f t="shared" si="2"/>
        <v>0</v>
      </c>
      <c r="V129" s="225">
        <f t="shared" si="3"/>
        <v>-6345</v>
      </c>
      <c r="W129" s="231">
        <f t="shared" si="4"/>
        <v>-1</v>
      </c>
      <c r="X129" s="231"/>
    </row>
    <row r="130" spans="1:24" x14ac:dyDescent="0.25">
      <c r="A130" s="220" t="s">
        <v>98</v>
      </c>
      <c r="B130" s="221" t="s">
        <v>69</v>
      </c>
      <c r="C130" s="210"/>
      <c r="D130" s="211"/>
      <c r="E130" s="212"/>
      <c r="F130" s="208">
        <f>SUM(F131:F138)</f>
        <v>227244</v>
      </c>
      <c r="G130" s="315">
        <f>SUM(G131:G138)</f>
        <v>320414.03999999998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39">
        <f t="shared" si="0"/>
        <v>-227244</v>
      </c>
      <c r="T130" s="240">
        <f t="shared" si="1"/>
        <v>-1</v>
      </c>
      <c r="U130" s="239">
        <f t="shared" si="2"/>
        <v>0</v>
      </c>
      <c r="V130" s="239">
        <f t="shared" si="3"/>
        <v>-320414.03999999998</v>
      </c>
      <c r="W130" s="240">
        <f t="shared" si="4"/>
        <v>-1</v>
      </c>
      <c r="X130" s="240"/>
    </row>
    <row r="131" spans="1:24" ht="26.4" x14ac:dyDescent="0.25">
      <c r="A131" s="148" t="s">
        <v>215</v>
      </c>
      <c r="B131" s="106" t="s">
        <v>548</v>
      </c>
      <c r="C131" s="28" t="s">
        <v>482</v>
      </c>
      <c r="D131" s="281">
        <f>16*23*12</f>
        <v>4416</v>
      </c>
      <c r="E131" s="282">
        <f>1.5*6</f>
        <v>9</v>
      </c>
      <c r="F131" s="48">
        <f t="shared" ref="F131:F138" si="5">D131*E131</f>
        <v>39744</v>
      </c>
      <c r="G131" s="295">
        <f>F131*C4</f>
        <v>56039.039999999994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0"/>
        <v>-39744</v>
      </c>
      <c r="T131" s="231">
        <f t="shared" si="1"/>
        <v>-1</v>
      </c>
      <c r="U131" s="225">
        <f t="shared" si="2"/>
        <v>0</v>
      </c>
      <c r="V131" s="225">
        <f t="shared" si="3"/>
        <v>-56039.039999999994</v>
      </c>
      <c r="W131" s="231">
        <f t="shared" si="4"/>
        <v>-1</v>
      </c>
      <c r="X131" s="231"/>
    </row>
    <row r="132" spans="1:24" x14ac:dyDescent="0.25">
      <c r="A132" s="148" t="s">
        <v>216</v>
      </c>
      <c r="B132" s="106" t="s">
        <v>549</v>
      </c>
      <c r="C132" s="28" t="s">
        <v>429</v>
      </c>
      <c r="D132" s="281">
        <v>3</v>
      </c>
      <c r="E132" s="282">
        <v>2000</v>
      </c>
      <c r="F132" s="48">
        <f t="shared" si="5"/>
        <v>6000</v>
      </c>
      <c r="G132" s="295">
        <f>F132*C4</f>
        <v>8460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0"/>
        <v>-6000</v>
      </c>
      <c r="T132" s="231">
        <f t="shared" si="1"/>
        <v>-1</v>
      </c>
      <c r="U132" s="225">
        <f t="shared" si="2"/>
        <v>0</v>
      </c>
      <c r="V132" s="225">
        <f t="shared" si="3"/>
        <v>-8460</v>
      </c>
      <c r="W132" s="231">
        <f t="shared" si="4"/>
        <v>-1</v>
      </c>
      <c r="X132" s="231"/>
    </row>
    <row r="133" spans="1:24" x14ac:dyDescent="0.25">
      <c r="A133" s="148" t="s">
        <v>217</v>
      </c>
      <c r="B133" s="106" t="s">
        <v>550</v>
      </c>
      <c r="C133" s="28" t="s">
        <v>551</v>
      </c>
      <c r="D133" s="281">
        <v>350</v>
      </c>
      <c r="E133" s="282">
        <v>50</v>
      </c>
      <c r="F133" s="48">
        <f t="shared" si="5"/>
        <v>17500</v>
      </c>
      <c r="G133" s="295">
        <f>F133*C4</f>
        <v>24675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0"/>
        <v>-17500</v>
      </c>
      <c r="T133" s="231">
        <f t="shared" si="1"/>
        <v>-1</v>
      </c>
      <c r="U133" s="225">
        <f t="shared" si="2"/>
        <v>0</v>
      </c>
      <c r="V133" s="225">
        <f t="shared" si="3"/>
        <v>-24675</v>
      </c>
      <c r="W133" s="231">
        <f t="shared" si="4"/>
        <v>-1</v>
      </c>
      <c r="X133" s="231"/>
    </row>
    <row r="134" spans="1:24" ht="26.4" x14ac:dyDescent="0.25">
      <c r="A134" s="148" t="s">
        <v>218</v>
      </c>
      <c r="B134" s="106" t="s">
        <v>552</v>
      </c>
      <c r="C134" s="28" t="s">
        <v>553</v>
      </c>
      <c r="D134" s="281">
        <f>250*1.8</f>
        <v>450</v>
      </c>
      <c r="E134" s="282">
        <v>300</v>
      </c>
      <c r="F134" s="48">
        <f t="shared" si="5"/>
        <v>135000</v>
      </c>
      <c r="G134" s="295">
        <f>F134*$C$4</f>
        <v>190350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0"/>
        <v>-135000</v>
      </c>
      <c r="T134" s="231">
        <f t="shared" si="1"/>
        <v>-1</v>
      </c>
      <c r="U134" s="225">
        <f t="shared" si="2"/>
        <v>0</v>
      </c>
      <c r="V134" s="225">
        <f t="shared" si="3"/>
        <v>-190350</v>
      </c>
      <c r="W134" s="231">
        <f t="shared" si="4"/>
        <v>-1</v>
      </c>
      <c r="X134" s="231"/>
    </row>
    <row r="135" spans="1:24" ht="26.4" x14ac:dyDescent="0.25">
      <c r="A135" s="148" t="s">
        <v>544</v>
      </c>
      <c r="B135" s="106" t="s">
        <v>554</v>
      </c>
      <c r="C135" s="28" t="s">
        <v>429</v>
      </c>
      <c r="D135" s="281">
        <v>25</v>
      </c>
      <c r="E135" s="282">
        <f>5*20</f>
        <v>100</v>
      </c>
      <c r="F135" s="48">
        <f t="shared" si="5"/>
        <v>2500</v>
      </c>
      <c r="G135" s="295">
        <f>F135*$C$4</f>
        <v>3525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/>
      <c r="T135" s="231"/>
      <c r="U135" s="225"/>
      <c r="V135" s="225"/>
      <c r="W135" s="231"/>
      <c r="X135" s="231"/>
    </row>
    <row r="136" spans="1:24" ht="26.4" x14ac:dyDescent="0.25">
      <c r="A136" s="148" t="s">
        <v>545</v>
      </c>
      <c r="B136" s="106" t="s">
        <v>555</v>
      </c>
      <c r="C136" s="28" t="s">
        <v>556</v>
      </c>
      <c r="D136" s="281">
        <v>50</v>
      </c>
      <c r="E136" s="282">
        <v>50</v>
      </c>
      <c r="F136" s="48">
        <f t="shared" si="5"/>
        <v>2500</v>
      </c>
      <c r="G136" s="295">
        <f>F136*$C$4</f>
        <v>3525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/>
      <c r="T136" s="231"/>
      <c r="U136" s="225"/>
      <c r="V136" s="225"/>
      <c r="W136" s="231"/>
      <c r="X136" s="231"/>
    </row>
    <row r="137" spans="1:24" ht="26.4" x14ac:dyDescent="0.25">
      <c r="A137" s="148" t="s">
        <v>546</v>
      </c>
      <c r="B137" s="106" t="s">
        <v>557</v>
      </c>
      <c r="C137" s="28" t="s">
        <v>558</v>
      </c>
      <c r="D137" s="281">
        <v>10</v>
      </c>
      <c r="E137" s="282">
        <v>1000</v>
      </c>
      <c r="F137" s="48">
        <f t="shared" si="5"/>
        <v>10000</v>
      </c>
      <c r="G137" s="295">
        <f>F137*$C$4</f>
        <v>14100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/>
      <c r="T137" s="231"/>
      <c r="U137" s="225"/>
      <c r="V137" s="225"/>
      <c r="W137" s="231"/>
      <c r="X137" s="231"/>
    </row>
    <row r="138" spans="1:24" ht="26.4" x14ac:dyDescent="0.25">
      <c r="A138" s="148" t="s">
        <v>547</v>
      </c>
      <c r="B138" s="106" t="s">
        <v>559</v>
      </c>
      <c r="C138" s="28" t="s">
        <v>560</v>
      </c>
      <c r="D138" s="281">
        <v>400</v>
      </c>
      <c r="E138" s="282">
        <v>35</v>
      </c>
      <c r="F138" s="48">
        <f t="shared" si="5"/>
        <v>14000</v>
      </c>
      <c r="G138" s="295">
        <f>F138*$C$4</f>
        <v>19740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0"/>
        <v>-14000</v>
      </c>
      <c r="T138" s="231">
        <f t="shared" si="1"/>
        <v>-1</v>
      </c>
      <c r="U138" s="225">
        <f t="shared" si="2"/>
        <v>0</v>
      </c>
      <c r="V138" s="225">
        <f t="shared" si="3"/>
        <v>-19740</v>
      </c>
      <c r="W138" s="231">
        <f t="shared" si="4"/>
        <v>-1</v>
      </c>
      <c r="X138" s="231"/>
    </row>
    <row r="139" spans="1:24" hidden="1" x14ac:dyDescent="0.25">
      <c r="A139" s="220" t="s">
        <v>99</v>
      </c>
      <c r="B139" s="221" t="s">
        <v>54</v>
      </c>
      <c r="C139" s="210"/>
      <c r="D139" s="211"/>
      <c r="E139" s="212"/>
      <c r="F139" s="208">
        <f>SUM(F140:F144)</f>
        <v>0</v>
      </c>
      <c r="G139" s="315">
        <f>SUM(G140:G144)</f>
        <v>0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39">
        <f t="shared" si="0"/>
        <v>0</v>
      </c>
      <c r="T139" s="240">
        <f t="shared" si="1"/>
        <v>0</v>
      </c>
      <c r="U139" s="239">
        <f t="shared" si="2"/>
        <v>0</v>
      </c>
      <c r="V139" s="239">
        <f t="shared" si="3"/>
        <v>0</v>
      </c>
      <c r="W139" s="240">
        <f t="shared" si="4"/>
        <v>0</v>
      </c>
      <c r="X139" s="240"/>
    </row>
    <row r="140" spans="1:24" hidden="1" x14ac:dyDescent="0.25">
      <c r="A140" s="148" t="s">
        <v>220</v>
      </c>
      <c r="B140" s="106" t="s">
        <v>274</v>
      </c>
      <c r="C140" s="28"/>
      <c r="D140" s="29"/>
      <c r="E140" s="30"/>
      <c r="F140" s="48">
        <f>D140*E140</f>
        <v>0</v>
      </c>
      <c r="G140" s="295">
        <f>F140*C4</f>
        <v>0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0"/>
        <v>0</v>
      </c>
      <c r="T140" s="231">
        <f t="shared" si="1"/>
        <v>0</v>
      </c>
      <c r="U140" s="225">
        <f t="shared" si="2"/>
        <v>0</v>
      </c>
      <c r="V140" s="225">
        <f t="shared" si="3"/>
        <v>0</v>
      </c>
      <c r="W140" s="231">
        <f t="shared" si="4"/>
        <v>0</v>
      </c>
      <c r="X140" s="231"/>
    </row>
    <row r="141" spans="1:24" hidden="1" x14ac:dyDescent="0.25">
      <c r="A141" s="148" t="s">
        <v>221</v>
      </c>
      <c r="B141" s="106" t="s">
        <v>275</v>
      </c>
      <c r="C141" s="28"/>
      <c r="D141" s="29"/>
      <c r="E141" s="30"/>
      <c r="F141" s="48">
        <f>D141*E141</f>
        <v>0</v>
      </c>
      <c r="G141" s="295">
        <f>F141*C4</f>
        <v>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0"/>
        <v>0</v>
      </c>
      <c r="T141" s="231">
        <f t="shared" si="1"/>
        <v>0</v>
      </c>
      <c r="U141" s="225">
        <f t="shared" si="2"/>
        <v>0</v>
      </c>
      <c r="V141" s="225">
        <f t="shared" si="3"/>
        <v>0</v>
      </c>
      <c r="W141" s="231">
        <f t="shared" si="4"/>
        <v>0</v>
      </c>
      <c r="X141" s="231"/>
    </row>
    <row r="142" spans="1:24" hidden="1" x14ac:dyDescent="0.25">
      <c r="A142" s="148" t="s">
        <v>222</v>
      </c>
      <c r="B142" s="106" t="s">
        <v>276</v>
      </c>
      <c r="C142" s="28"/>
      <c r="D142" s="29"/>
      <c r="E142" s="30"/>
      <c r="F142" s="48">
        <f>D142*E142</f>
        <v>0</v>
      </c>
      <c r="G142" s="295">
        <f>F142*C4</f>
        <v>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0"/>
        <v>0</v>
      </c>
      <c r="T142" s="231">
        <f t="shared" si="1"/>
        <v>0</v>
      </c>
      <c r="U142" s="225">
        <f t="shared" si="2"/>
        <v>0</v>
      </c>
      <c r="V142" s="225">
        <f t="shared" si="3"/>
        <v>0</v>
      </c>
      <c r="W142" s="231">
        <f t="shared" si="4"/>
        <v>0</v>
      </c>
      <c r="X142" s="231"/>
    </row>
    <row r="143" spans="1:24" hidden="1" x14ac:dyDescent="0.25">
      <c r="A143" s="148" t="s">
        <v>223</v>
      </c>
      <c r="B143" s="106" t="s">
        <v>277</v>
      </c>
      <c r="C143" s="28"/>
      <c r="D143" s="29"/>
      <c r="E143" s="30"/>
      <c r="F143" s="48">
        <f>D143*E143</f>
        <v>0</v>
      </c>
      <c r="G143" s="295">
        <f>F143*C4</f>
        <v>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0"/>
        <v>0</v>
      </c>
      <c r="T143" s="231">
        <f t="shared" si="1"/>
        <v>0</v>
      </c>
      <c r="U143" s="225">
        <f t="shared" si="2"/>
        <v>0</v>
      </c>
      <c r="V143" s="225">
        <f t="shared" si="3"/>
        <v>0</v>
      </c>
      <c r="W143" s="231">
        <f t="shared" si="4"/>
        <v>0</v>
      </c>
      <c r="X143" s="231"/>
    </row>
    <row r="144" spans="1:24" hidden="1" x14ac:dyDescent="0.25">
      <c r="A144" s="148" t="s">
        <v>224</v>
      </c>
      <c r="B144" s="106" t="s">
        <v>278</v>
      </c>
      <c r="C144" s="28"/>
      <c r="D144" s="29"/>
      <c r="E144" s="30"/>
      <c r="F144" s="48">
        <f>D144*E144</f>
        <v>0</v>
      </c>
      <c r="G144" s="295">
        <f>F144*C4</f>
        <v>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0"/>
        <v>0</v>
      </c>
      <c r="T144" s="231">
        <f t="shared" si="1"/>
        <v>0</v>
      </c>
      <c r="U144" s="225">
        <f t="shared" si="2"/>
        <v>0</v>
      </c>
      <c r="V144" s="225">
        <f t="shared" si="3"/>
        <v>0</v>
      </c>
      <c r="W144" s="231">
        <f t="shared" si="4"/>
        <v>0</v>
      </c>
      <c r="X144" s="231"/>
    </row>
    <row r="145" spans="1:24" hidden="1" x14ac:dyDescent="0.25">
      <c r="A145" s="220" t="s">
        <v>100</v>
      </c>
      <c r="B145" s="221" t="s">
        <v>53</v>
      </c>
      <c r="C145" s="210"/>
      <c r="D145" s="211"/>
      <c r="E145" s="212"/>
      <c r="F145" s="208">
        <f>SUM(F146:F150)</f>
        <v>0</v>
      </c>
      <c r="G145" s="315">
        <f>SUM(G146:G150)</f>
        <v>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39">
        <f t="shared" si="0"/>
        <v>0</v>
      </c>
      <c r="T145" s="240">
        <f t="shared" si="1"/>
        <v>0</v>
      </c>
      <c r="U145" s="239">
        <f t="shared" si="2"/>
        <v>0</v>
      </c>
      <c r="V145" s="239">
        <f t="shared" si="3"/>
        <v>0</v>
      </c>
      <c r="W145" s="240">
        <f t="shared" si="4"/>
        <v>0</v>
      </c>
      <c r="X145" s="240"/>
    </row>
    <row r="146" spans="1:24" hidden="1" x14ac:dyDescent="0.25">
      <c r="A146" s="148" t="s">
        <v>225</v>
      </c>
      <c r="B146" s="106" t="s">
        <v>279</v>
      </c>
      <c r="C146" s="28"/>
      <c r="D146" s="29"/>
      <c r="E146" s="30"/>
      <c r="F146" s="48">
        <f>D146*E146</f>
        <v>0</v>
      </c>
      <c r="G146" s="295">
        <f>F146*C4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0"/>
        <v>0</v>
      </c>
      <c r="T146" s="231">
        <f t="shared" si="1"/>
        <v>0</v>
      </c>
      <c r="U146" s="225">
        <f t="shared" si="2"/>
        <v>0</v>
      </c>
      <c r="V146" s="225">
        <f t="shared" si="3"/>
        <v>0</v>
      </c>
      <c r="W146" s="231">
        <f t="shared" si="4"/>
        <v>0</v>
      </c>
      <c r="X146" s="231"/>
    </row>
    <row r="147" spans="1:24" hidden="1" x14ac:dyDescent="0.25">
      <c r="A147" s="148" t="s">
        <v>226</v>
      </c>
      <c r="B147" s="106" t="s">
        <v>280</v>
      </c>
      <c r="C147" s="28"/>
      <c r="D147" s="29"/>
      <c r="E147" s="30"/>
      <c r="F147" s="48">
        <f>D147*E147</f>
        <v>0</v>
      </c>
      <c r="G147" s="295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si="0"/>
        <v>0</v>
      </c>
      <c r="T147" s="231">
        <f t="shared" si="1"/>
        <v>0</v>
      </c>
      <c r="U147" s="225">
        <f t="shared" si="2"/>
        <v>0</v>
      </c>
      <c r="V147" s="225">
        <f t="shared" si="3"/>
        <v>0</v>
      </c>
      <c r="W147" s="231">
        <f t="shared" si="4"/>
        <v>0</v>
      </c>
      <c r="X147" s="231"/>
    </row>
    <row r="148" spans="1:24" hidden="1" x14ac:dyDescent="0.25">
      <c r="A148" s="148" t="s">
        <v>227</v>
      </c>
      <c r="B148" s="106" t="s">
        <v>281</v>
      </c>
      <c r="C148" s="28"/>
      <c r="D148" s="29"/>
      <c r="E148" s="30"/>
      <c r="F148" s="48">
        <f>D148*E148</f>
        <v>0</v>
      </c>
      <c r="G148" s="295">
        <f>F148*C4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si="0"/>
        <v>0</v>
      </c>
      <c r="T148" s="231">
        <f t="shared" si="1"/>
        <v>0</v>
      </c>
      <c r="U148" s="225">
        <f t="shared" si="2"/>
        <v>0</v>
      </c>
      <c r="V148" s="225">
        <f t="shared" si="3"/>
        <v>0</v>
      </c>
      <c r="W148" s="231">
        <f t="shared" si="4"/>
        <v>0</v>
      </c>
      <c r="X148" s="231"/>
    </row>
    <row r="149" spans="1:24" hidden="1" x14ac:dyDescent="0.25">
      <c r="A149" s="148" t="s">
        <v>228</v>
      </c>
      <c r="B149" s="106" t="s">
        <v>282</v>
      </c>
      <c r="C149" s="28"/>
      <c r="D149" s="29"/>
      <c r="E149" s="30"/>
      <c r="F149" s="48">
        <f>D149*E149</f>
        <v>0</v>
      </c>
      <c r="G149" s="295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0"/>
        <v>0</v>
      </c>
      <c r="T149" s="231">
        <f t="shared" si="1"/>
        <v>0</v>
      </c>
      <c r="U149" s="225">
        <f t="shared" si="2"/>
        <v>0</v>
      </c>
      <c r="V149" s="225">
        <f t="shared" si="3"/>
        <v>0</v>
      </c>
      <c r="W149" s="231">
        <f t="shared" si="4"/>
        <v>0</v>
      </c>
      <c r="X149" s="231"/>
    </row>
    <row r="150" spans="1:24" hidden="1" x14ac:dyDescent="0.25">
      <c r="A150" s="148" t="s">
        <v>229</v>
      </c>
      <c r="B150" s="106" t="s">
        <v>283</v>
      </c>
      <c r="C150" s="28"/>
      <c r="D150" s="29"/>
      <c r="E150" s="30"/>
      <c r="F150" s="48">
        <f>D150*E150</f>
        <v>0</v>
      </c>
      <c r="G150" s="295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0"/>
        <v>0</v>
      </c>
      <c r="T150" s="231">
        <f t="shared" si="1"/>
        <v>0</v>
      </c>
      <c r="U150" s="225">
        <f t="shared" si="2"/>
        <v>0</v>
      </c>
      <c r="V150" s="225">
        <f t="shared" si="3"/>
        <v>0</v>
      </c>
      <c r="W150" s="231">
        <f t="shared" si="4"/>
        <v>0</v>
      </c>
      <c r="X150" s="231"/>
    </row>
    <row r="151" spans="1:24" hidden="1" x14ac:dyDescent="0.25">
      <c r="A151" s="220" t="s">
        <v>101</v>
      </c>
      <c r="B151" s="221" t="s">
        <v>70</v>
      </c>
      <c r="C151" s="210"/>
      <c r="D151" s="211"/>
      <c r="E151" s="212"/>
      <c r="F151" s="208">
        <f>SUM(F152:F156)</f>
        <v>0</v>
      </c>
      <c r="G151" s="315">
        <f>SUM(G152:G156)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39">
        <f t="shared" si="0"/>
        <v>0</v>
      </c>
      <c r="T151" s="240">
        <f t="shared" si="1"/>
        <v>0</v>
      </c>
      <c r="U151" s="239">
        <f t="shared" si="2"/>
        <v>0</v>
      </c>
      <c r="V151" s="239">
        <f t="shared" si="3"/>
        <v>0</v>
      </c>
      <c r="W151" s="240">
        <f t="shared" si="4"/>
        <v>0</v>
      </c>
      <c r="X151" s="240"/>
    </row>
    <row r="152" spans="1:24" hidden="1" x14ac:dyDescent="0.25">
      <c r="A152" s="148" t="s">
        <v>230</v>
      </c>
      <c r="B152" s="106" t="s">
        <v>284</v>
      </c>
      <c r="C152" s="28"/>
      <c r="D152" s="29"/>
      <c r="E152" s="30"/>
      <c r="F152" s="48">
        <f>D152*E152</f>
        <v>0</v>
      </c>
      <c r="G152" s="295">
        <f>F152*C4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0"/>
        <v>0</v>
      </c>
      <c r="T152" s="231">
        <f t="shared" si="1"/>
        <v>0</v>
      </c>
      <c r="U152" s="225">
        <f t="shared" si="2"/>
        <v>0</v>
      </c>
      <c r="V152" s="225">
        <f t="shared" si="3"/>
        <v>0</v>
      </c>
      <c r="W152" s="231">
        <f t="shared" si="4"/>
        <v>0</v>
      </c>
      <c r="X152" s="231"/>
    </row>
    <row r="153" spans="1:24" hidden="1" x14ac:dyDescent="0.25">
      <c r="A153" s="148" t="s">
        <v>231</v>
      </c>
      <c r="B153" s="106" t="s">
        <v>285</v>
      </c>
      <c r="C153" s="28"/>
      <c r="D153" s="29"/>
      <c r="E153" s="30"/>
      <c r="F153" s="48">
        <f>D153*E153</f>
        <v>0</v>
      </c>
      <c r="G153" s="295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ref="S153:S217" si="6">R153-F153</f>
        <v>0</v>
      </c>
      <c r="T153" s="231">
        <f t="shared" ref="T153:T217" si="7">IF(F153=0,0,S153/F153)</f>
        <v>0</v>
      </c>
      <c r="U153" s="225">
        <f t="shared" ref="U153:U217" si="8">R153*$C$4</f>
        <v>0</v>
      </c>
      <c r="V153" s="225">
        <f t="shared" ref="V153:V217" si="9">U153-G153</f>
        <v>0</v>
      </c>
      <c r="W153" s="231">
        <f t="shared" ref="W153:W217" si="10">IF(G153=0,0,V153/G153)</f>
        <v>0</v>
      </c>
      <c r="X153" s="231"/>
    </row>
    <row r="154" spans="1:24" hidden="1" x14ac:dyDescent="0.25">
      <c r="A154" s="148" t="s">
        <v>232</v>
      </c>
      <c r="B154" s="106" t="s">
        <v>286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6"/>
        <v>0</v>
      </c>
      <c r="T154" s="231">
        <f t="shared" si="7"/>
        <v>0</v>
      </c>
      <c r="U154" s="225">
        <f t="shared" si="8"/>
        <v>0</v>
      </c>
      <c r="V154" s="225">
        <f t="shared" si="9"/>
        <v>0</v>
      </c>
      <c r="W154" s="231">
        <f t="shared" si="10"/>
        <v>0</v>
      </c>
      <c r="X154" s="231"/>
    </row>
    <row r="155" spans="1:24" hidden="1" x14ac:dyDescent="0.25">
      <c r="A155" s="148" t="s">
        <v>233</v>
      </c>
      <c r="B155" s="106" t="s">
        <v>287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6"/>
        <v>0</v>
      </c>
      <c r="T155" s="231">
        <f t="shared" si="7"/>
        <v>0</v>
      </c>
      <c r="U155" s="225">
        <f t="shared" si="8"/>
        <v>0</v>
      </c>
      <c r="V155" s="225">
        <f t="shared" si="9"/>
        <v>0</v>
      </c>
      <c r="W155" s="231">
        <f t="shared" si="10"/>
        <v>0</v>
      </c>
      <c r="X155" s="231"/>
    </row>
    <row r="156" spans="1:24" hidden="1" x14ac:dyDescent="0.25">
      <c r="A156" s="148" t="s">
        <v>234</v>
      </c>
      <c r="B156" s="106" t="s">
        <v>288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6"/>
        <v>0</v>
      </c>
      <c r="T156" s="231">
        <f t="shared" si="7"/>
        <v>0</v>
      </c>
      <c r="U156" s="225">
        <f t="shared" si="8"/>
        <v>0</v>
      </c>
      <c r="V156" s="225">
        <f t="shared" si="9"/>
        <v>0</v>
      </c>
      <c r="W156" s="231">
        <f t="shared" si="10"/>
        <v>0</v>
      </c>
      <c r="X156" s="231"/>
    </row>
    <row r="157" spans="1:24" hidden="1" x14ac:dyDescent="0.25">
      <c r="A157" s="220" t="s">
        <v>102</v>
      </c>
      <c r="B157" s="221" t="s">
        <v>295</v>
      </c>
      <c r="C157" s="210"/>
      <c r="D157" s="211"/>
      <c r="E157" s="212"/>
      <c r="F157" s="208">
        <f>SUM(F158:F162)</f>
        <v>0</v>
      </c>
      <c r="G157" s="315">
        <f>SUM(G158:G162)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39">
        <f t="shared" si="6"/>
        <v>0</v>
      </c>
      <c r="T157" s="240">
        <f t="shared" si="7"/>
        <v>0</v>
      </c>
      <c r="U157" s="239">
        <f t="shared" si="8"/>
        <v>0</v>
      </c>
      <c r="V157" s="239">
        <f t="shared" si="9"/>
        <v>0</v>
      </c>
      <c r="W157" s="240">
        <f t="shared" si="10"/>
        <v>0</v>
      </c>
      <c r="X157" s="240"/>
    </row>
    <row r="158" spans="1:24" hidden="1" x14ac:dyDescent="0.25">
      <c r="A158" s="153" t="s">
        <v>235</v>
      </c>
      <c r="B158" s="106" t="s">
        <v>298</v>
      </c>
      <c r="C158" s="28"/>
      <c r="D158" s="29"/>
      <c r="E158" s="30"/>
      <c r="F158" s="48">
        <f>D158*E158</f>
        <v>0</v>
      </c>
      <c r="G158" s="295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6"/>
        <v>0</v>
      </c>
      <c r="T158" s="231">
        <f t="shared" si="7"/>
        <v>0</v>
      </c>
      <c r="U158" s="225">
        <f t="shared" si="8"/>
        <v>0</v>
      </c>
      <c r="V158" s="225">
        <f t="shared" si="9"/>
        <v>0</v>
      </c>
      <c r="W158" s="231">
        <f t="shared" si="10"/>
        <v>0</v>
      </c>
      <c r="X158" s="231"/>
    </row>
    <row r="159" spans="1:24" hidden="1" x14ac:dyDescent="0.25">
      <c r="A159" s="153" t="s">
        <v>236</v>
      </c>
      <c r="B159" s="106" t="s">
        <v>299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6"/>
        <v>0</v>
      </c>
      <c r="T159" s="231">
        <f t="shared" si="7"/>
        <v>0</v>
      </c>
      <c r="U159" s="225">
        <f t="shared" si="8"/>
        <v>0</v>
      </c>
      <c r="V159" s="225">
        <f t="shared" si="9"/>
        <v>0</v>
      </c>
      <c r="W159" s="231">
        <f t="shared" si="10"/>
        <v>0</v>
      </c>
      <c r="X159" s="231"/>
    </row>
    <row r="160" spans="1:24" hidden="1" x14ac:dyDescent="0.25">
      <c r="A160" s="153" t="s">
        <v>237</v>
      </c>
      <c r="B160" s="106" t="s">
        <v>300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6"/>
        <v>0</v>
      </c>
      <c r="T160" s="231">
        <f t="shared" si="7"/>
        <v>0</v>
      </c>
      <c r="U160" s="225">
        <f t="shared" si="8"/>
        <v>0</v>
      </c>
      <c r="V160" s="225">
        <f t="shared" si="9"/>
        <v>0</v>
      </c>
      <c r="W160" s="231">
        <f t="shared" si="10"/>
        <v>0</v>
      </c>
      <c r="X160" s="231"/>
    </row>
    <row r="161" spans="1:24" hidden="1" x14ac:dyDescent="0.25">
      <c r="A161" s="153" t="s">
        <v>238</v>
      </c>
      <c r="B161" s="106" t="s">
        <v>301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6"/>
        <v>0</v>
      </c>
      <c r="T161" s="231">
        <f t="shared" si="7"/>
        <v>0</v>
      </c>
      <c r="U161" s="225">
        <f t="shared" si="8"/>
        <v>0</v>
      </c>
      <c r="V161" s="225">
        <f t="shared" si="9"/>
        <v>0</v>
      </c>
      <c r="W161" s="231">
        <f t="shared" si="10"/>
        <v>0</v>
      </c>
      <c r="X161" s="231"/>
    </row>
    <row r="162" spans="1:24" hidden="1" x14ac:dyDescent="0.25">
      <c r="A162" s="153" t="s">
        <v>239</v>
      </c>
      <c r="B162" s="106" t="s">
        <v>302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6"/>
        <v>0</v>
      </c>
      <c r="T162" s="231">
        <f t="shared" si="7"/>
        <v>0</v>
      </c>
      <c r="U162" s="225">
        <f t="shared" si="8"/>
        <v>0</v>
      </c>
      <c r="V162" s="225">
        <f t="shared" si="9"/>
        <v>0</v>
      </c>
      <c r="W162" s="231">
        <f t="shared" si="10"/>
        <v>0</v>
      </c>
      <c r="X162" s="231"/>
    </row>
    <row r="163" spans="1:24" hidden="1" x14ac:dyDescent="0.25">
      <c r="A163" s="220" t="s">
        <v>103</v>
      </c>
      <c r="B163" s="221" t="s">
        <v>307</v>
      </c>
      <c r="C163" s="210"/>
      <c r="D163" s="211"/>
      <c r="E163" s="212"/>
      <c r="F163" s="208">
        <f>SUM(F164:F168)</f>
        <v>0</v>
      </c>
      <c r="G163" s="315">
        <f>SUM(G164:G168)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39">
        <f t="shared" si="6"/>
        <v>0</v>
      </c>
      <c r="T163" s="240">
        <f t="shared" si="7"/>
        <v>0</v>
      </c>
      <c r="U163" s="239">
        <f t="shared" si="8"/>
        <v>0</v>
      </c>
      <c r="V163" s="239">
        <f t="shared" si="9"/>
        <v>0</v>
      </c>
      <c r="W163" s="240">
        <f t="shared" si="10"/>
        <v>0</v>
      </c>
      <c r="X163" s="240"/>
    </row>
    <row r="164" spans="1:24" hidden="1" x14ac:dyDescent="0.25">
      <c r="A164" s="148" t="s">
        <v>240</v>
      </c>
      <c r="B164" s="106" t="s">
        <v>297</v>
      </c>
      <c r="C164" s="28"/>
      <c r="D164" s="29"/>
      <c r="E164" s="30"/>
      <c r="F164" s="48">
        <f>D164*E164</f>
        <v>0</v>
      </c>
      <c r="G164" s="295">
        <f>F164*C4</f>
        <v>0</v>
      </c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62"/>
      <c r="S164" s="225">
        <f t="shared" si="6"/>
        <v>0</v>
      </c>
      <c r="T164" s="231">
        <f t="shared" si="7"/>
        <v>0</v>
      </c>
      <c r="U164" s="225">
        <f t="shared" si="8"/>
        <v>0</v>
      </c>
      <c r="V164" s="225">
        <f t="shared" si="9"/>
        <v>0</v>
      </c>
      <c r="W164" s="231">
        <f t="shared" si="10"/>
        <v>0</v>
      </c>
      <c r="X164" s="231"/>
    </row>
    <row r="165" spans="1:24" hidden="1" x14ac:dyDescent="0.25">
      <c r="A165" s="148" t="s">
        <v>241</v>
      </c>
      <c r="B165" s="106" t="s">
        <v>303</v>
      </c>
      <c r="C165" s="28"/>
      <c r="D165" s="29"/>
      <c r="E165" s="30"/>
      <c r="F165" s="48">
        <f>D165*E165</f>
        <v>0</v>
      </c>
      <c r="G165" s="295">
        <f>F165*C4</f>
        <v>0</v>
      </c>
      <c r="H165" s="242"/>
      <c r="I165" s="242"/>
      <c r="J165" s="242"/>
      <c r="K165" s="242"/>
      <c r="L165" s="242"/>
      <c r="M165" s="242"/>
      <c r="N165" s="242"/>
      <c r="O165" s="242"/>
      <c r="P165" s="242"/>
      <c r="Q165" s="251"/>
      <c r="R165" s="262"/>
      <c r="S165" s="225">
        <f t="shared" si="6"/>
        <v>0</v>
      </c>
      <c r="T165" s="231">
        <f t="shared" si="7"/>
        <v>0</v>
      </c>
      <c r="U165" s="225">
        <f t="shared" si="8"/>
        <v>0</v>
      </c>
      <c r="V165" s="225">
        <f t="shared" si="9"/>
        <v>0</v>
      </c>
      <c r="W165" s="231">
        <f t="shared" si="10"/>
        <v>0</v>
      </c>
      <c r="X165" s="231"/>
    </row>
    <row r="166" spans="1:24" hidden="1" x14ac:dyDescent="0.25">
      <c r="A166" s="148" t="s">
        <v>242</v>
      </c>
      <c r="B166" s="106" t="s">
        <v>304</v>
      </c>
      <c r="C166" s="28"/>
      <c r="D166" s="29"/>
      <c r="E166" s="30"/>
      <c r="F166" s="48">
        <f>D166*E166</f>
        <v>0</v>
      </c>
      <c r="G166" s="295">
        <f>F166*C4</f>
        <v>0</v>
      </c>
      <c r="H166" s="242"/>
      <c r="I166" s="242"/>
      <c r="J166" s="242"/>
      <c r="K166" s="242"/>
      <c r="L166" s="242"/>
      <c r="M166" s="242"/>
      <c r="N166" s="242"/>
      <c r="O166" s="242"/>
      <c r="P166" s="242"/>
      <c r="Q166" s="251"/>
      <c r="R166" s="262"/>
      <c r="S166" s="225">
        <f t="shared" si="6"/>
        <v>0</v>
      </c>
      <c r="T166" s="231">
        <f t="shared" si="7"/>
        <v>0</v>
      </c>
      <c r="U166" s="225">
        <f t="shared" si="8"/>
        <v>0</v>
      </c>
      <c r="V166" s="225">
        <f t="shared" si="9"/>
        <v>0</v>
      </c>
      <c r="W166" s="231">
        <f t="shared" si="10"/>
        <v>0</v>
      </c>
      <c r="X166" s="231"/>
    </row>
    <row r="167" spans="1:24" hidden="1" x14ac:dyDescent="0.25">
      <c r="A167" s="148" t="s">
        <v>243</v>
      </c>
      <c r="B167" s="106" t="s">
        <v>305</v>
      </c>
      <c r="C167" s="28"/>
      <c r="D167" s="29"/>
      <c r="E167" s="30"/>
      <c r="F167" s="48">
        <f>D167*E167</f>
        <v>0</v>
      </c>
      <c r="G167" s="295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6"/>
        <v>0</v>
      </c>
      <c r="T167" s="231">
        <f t="shared" si="7"/>
        <v>0</v>
      </c>
      <c r="U167" s="225">
        <f t="shared" si="8"/>
        <v>0</v>
      </c>
      <c r="V167" s="225">
        <f t="shared" si="9"/>
        <v>0</v>
      </c>
      <c r="W167" s="231">
        <f t="shared" si="10"/>
        <v>0</v>
      </c>
      <c r="X167" s="231"/>
    </row>
    <row r="168" spans="1:24" hidden="1" x14ac:dyDescent="0.25">
      <c r="A168" s="148" t="s">
        <v>244</v>
      </c>
      <c r="B168" s="106" t="s">
        <v>306</v>
      </c>
      <c r="C168" s="28"/>
      <c r="D168" s="29"/>
      <c r="E168" s="30"/>
      <c r="F168" s="48">
        <f>D168*E168</f>
        <v>0</v>
      </c>
      <c r="G168" s="295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6"/>
        <v>0</v>
      </c>
      <c r="T168" s="231">
        <f t="shared" si="7"/>
        <v>0</v>
      </c>
      <c r="U168" s="225">
        <f t="shared" si="8"/>
        <v>0</v>
      </c>
      <c r="V168" s="225">
        <f t="shared" si="9"/>
        <v>0</v>
      </c>
      <c r="W168" s="231">
        <f t="shared" si="10"/>
        <v>0</v>
      </c>
      <c r="X168" s="231"/>
    </row>
    <row r="169" spans="1:24" x14ac:dyDescent="0.25">
      <c r="B169" s="149"/>
      <c r="C169" s="31"/>
      <c r="D169" s="32"/>
      <c r="E169" s="33"/>
      <c r="F169" s="48"/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57"/>
      <c r="S169" s="225"/>
      <c r="T169" s="231"/>
      <c r="U169" s="225"/>
      <c r="V169" s="225"/>
      <c r="W169" s="231"/>
      <c r="X169" s="231"/>
    </row>
    <row r="170" spans="1:24" ht="13.8" thickBot="1" x14ac:dyDescent="0.3">
      <c r="A170" s="99"/>
      <c r="B170" s="146" t="s">
        <v>124</v>
      </c>
      <c r="C170" s="118"/>
      <c r="D170" s="122"/>
      <c r="E170" s="123"/>
      <c r="F170" s="50">
        <f>SUM(F106+F112+F118+F124+F130+F139+F145+F151+F157+F163)</f>
        <v>414544</v>
      </c>
      <c r="G170" s="50">
        <f>SUM(G106+G112+G118+G124+G130+G139+G145+G151+G157+G163)</f>
        <v>584507.04</v>
      </c>
      <c r="H170" s="244"/>
      <c r="I170" s="244"/>
      <c r="J170" s="244"/>
      <c r="K170" s="244"/>
      <c r="L170" s="244"/>
      <c r="M170" s="244"/>
      <c r="N170" s="244"/>
      <c r="O170" s="244"/>
      <c r="P170" s="244"/>
      <c r="Q170" s="253"/>
      <c r="R170" s="263"/>
      <c r="S170" s="237">
        <f t="shared" si="6"/>
        <v>-414544</v>
      </c>
      <c r="T170" s="238">
        <f t="shared" si="7"/>
        <v>-1</v>
      </c>
      <c r="U170" s="237">
        <f t="shared" si="8"/>
        <v>0</v>
      </c>
      <c r="V170" s="237">
        <f t="shared" si="9"/>
        <v>-584507.04</v>
      </c>
      <c r="W170" s="238">
        <f t="shared" si="10"/>
        <v>-1</v>
      </c>
      <c r="X170" s="238"/>
    </row>
    <row r="171" spans="1:24" ht="13.8" thickTop="1" x14ac:dyDescent="0.25">
      <c r="C171" s="80"/>
      <c r="D171" s="71"/>
      <c r="E171" s="72"/>
      <c r="G171" s="48"/>
      <c r="H171" s="245"/>
      <c r="I171" s="245"/>
      <c r="J171" s="245"/>
      <c r="K171" s="245"/>
      <c r="L171" s="245"/>
      <c r="M171" s="245"/>
      <c r="N171" s="245"/>
      <c r="O171" s="245"/>
      <c r="P171" s="245"/>
      <c r="Q171" s="254"/>
      <c r="R171" s="261"/>
      <c r="S171" s="225"/>
      <c r="T171" s="231"/>
      <c r="U171" s="225"/>
      <c r="V171" s="225"/>
      <c r="W171" s="231"/>
      <c r="X171" s="231"/>
    </row>
    <row r="172" spans="1:24" x14ac:dyDescent="0.25">
      <c r="A172" s="125">
        <v>3</v>
      </c>
      <c r="B172" s="126" t="s">
        <v>127</v>
      </c>
      <c r="C172" s="130"/>
      <c r="D172" s="129"/>
      <c r="E172" s="131"/>
      <c r="F172" s="131"/>
      <c r="G172" s="147"/>
      <c r="H172" s="241"/>
      <c r="I172" s="241"/>
      <c r="J172" s="241"/>
      <c r="K172" s="241"/>
      <c r="L172" s="241"/>
      <c r="M172" s="241"/>
      <c r="N172" s="241"/>
      <c r="O172" s="241"/>
      <c r="P172" s="241"/>
      <c r="Q172" s="252"/>
      <c r="R172" s="260"/>
      <c r="S172" s="230"/>
      <c r="T172" s="232"/>
      <c r="U172" s="230"/>
      <c r="V172" s="230"/>
      <c r="W172" s="232"/>
      <c r="X172" s="232"/>
    </row>
    <row r="173" spans="1:24" hidden="1" x14ac:dyDescent="0.25">
      <c r="A173" s="157" t="s">
        <v>132</v>
      </c>
      <c r="B173" s="140" t="s">
        <v>110</v>
      </c>
      <c r="C173" s="21"/>
      <c r="D173" s="25"/>
      <c r="E173" s="18"/>
      <c r="F173" s="3">
        <f>D173*E173</f>
        <v>0</v>
      </c>
      <c r="G173" s="51">
        <f>F173*C4</f>
        <v>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6"/>
        <v>0</v>
      </c>
      <c r="T173" s="231">
        <f t="shared" si="7"/>
        <v>0</v>
      </c>
      <c r="U173" s="225">
        <f t="shared" si="8"/>
        <v>0</v>
      </c>
      <c r="V173" s="225">
        <f t="shared" si="9"/>
        <v>0</v>
      </c>
      <c r="W173" s="231">
        <f t="shared" si="10"/>
        <v>0</v>
      </c>
      <c r="X173" s="231"/>
    </row>
    <row r="174" spans="1:24" hidden="1" x14ac:dyDescent="0.25">
      <c r="A174" s="157" t="s">
        <v>133</v>
      </c>
      <c r="B174" s="140" t="s">
        <v>48</v>
      </c>
      <c r="C174" s="21"/>
      <c r="D174" s="25"/>
      <c r="E174" s="18"/>
      <c r="F174" s="3">
        <f t="shared" ref="F174:F181" si="11">D174*E174</f>
        <v>0</v>
      </c>
      <c r="G174" s="51">
        <f>F174*C4</f>
        <v>0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6"/>
        <v>0</v>
      </c>
      <c r="T174" s="231">
        <f t="shared" si="7"/>
        <v>0</v>
      </c>
      <c r="U174" s="225">
        <f t="shared" si="8"/>
        <v>0</v>
      </c>
      <c r="V174" s="225">
        <f t="shared" si="9"/>
        <v>0</v>
      </c>
      <c r="W174" s="231">
        <f t="shared" si="10"/>
        <v>0</v>
      </c>
      <c r="X174" s="231"/>
    </row>
    <row r="175" spans="1:24" hidden="1" x14ac:dyDescent="0.25">
      <c r="A175" s="157" t="s">
        <v>134</v>
      </c>
      <c r="B175" s="140" t="s">
        <v>106</v>
      </c>
      <c r="C175" s="34"/>
      <c r="D175" s="35"/>
      <c r="E175" s="36"/>
      <c r="F175" s="3">
        <f t="shared" si="11"/>
        <v>0</v>
      </c>
      <c r="G175" s="51">
        <f>F175*C4</f>
        <v>0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6"/>
        <v>0</v>
      </c>
      <c r="T175" s="231">
        <f t="shared" si="7"/>
        <v>0</v>
      </c>
      <c r="U175" s="225">
        <f t="shared" si="8"/>
        <v>0</v>
      </c>
      <c r="V175" s="225">
        <f t="shared" si="9"/>
        <v>0</v>
      </c>
      <c r="W175" s="231">
        <f t="shared" si="10"/>
        <v>0</v>
      </c>
      <c r="X175" s="231"/>
    </row>
    <row r="176" spans="1:24" hidden="1" x14ac:dyDescent="0.25">
      <c r="A176" s="157" t="s">
        <v>135</v>
      </c>
      <c r="B176" s="140" t="s">
        <v>140</v>
      </c>
      <c r="C176" s="34"/>
      <c r="D176" s="35"/>
      <c r="E176" s="36"/>
      <c r="F176" s="3">
        <f t="shared" si="11"/>
        <v>0</v>
      </c>
      <c r="G176" s="51">
        <f>F176*C4</f>
        <v>0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>
        <f t="shared" si="6"/>
        <v>0</v>
      </c>
      <c r="T176" s="231">
        <f t="shared" si="7"/>
        <v>0</v>
      </c>
      <c r="U176" s="225">
        <f t="shared" si="8"/>
        <v>0</v>
      </c>
      <c r="V176" s="225">
        <f t="shared" si="9"/>
        <v>0</v>
      </c>
      <c r="W176" s="231">
        <f t="shared" si="10"/>
        <v>0</v>
      </c>
      <c r="X176" s="231"/>
    </row>
    <row r="177" spans="1:24" ht="15" customHeight="1" x14ac:dyDescent="0.25">
      <c r="A177" s="157" t="s">
        <v>136</v>
      </c>
      <c r="B177" s="140" t="s">
        <v>141</v>
      </c>
      <c r="C177" s="287" t="s">
        <v>373</v>
      </c>
      <c r="D177" s="18">
        <v>12</v>
      </c>
      <c r="E177" s="25">
        <v>70</v>
      </c>
      <c r="F177" s="3">
        <f t="shared" si="11"/>
        <v>840</v>
      </c>
      <c r="G177" s="51">
        <f>F177*C4</f>
        <v>1184.3999999999999</v>
      </c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62"/>
      <c r="S177" s="225">
        <f t="shared" si="6"/>
        <v>-840</v>
      </c>
      <c r="T177" s="231">
        <f t="shared" si="7"/>
        <v>-1</v>
      </c>
      <c r="U177" s="225">
        <f t="shared" si="8"/>
        <v>0</v>
      </c>
      <c r="V177" s="225">
        <f t="shared" si="9"/>
        <v>-1184.3999999999999</v>
      </c>
      <c r="W177" s="231">
        <f t="shared" si="10"/>
        <v>-1</v>
      </c>
      <c r="X177" s="231"/>
    </row>
    <row r="178" spans="1:24" ht="15" hidden="1" customHeight="1" x14ac:dyDescent="0.25">
      <c r="A178" s="157" t="s">
        <v>137</v>
      </c>
      <c r="B178" s="140" t="s">
        <v>246</v>
      </c>
      <c r="C178" s="34"/>
      <c r="D178" s="35"/>
      <c r="E178" s="36"/>
      <c r="F178" s="3">
        <f>D178*E178</f>
        <v>0</v>
      </c>
      <c r="G178" s="51">
        <f>F178*C4</f>
        <v>0</v>
      </c>
      <c r="H178" s="242"/>
      <c r="I178" s="242"/>
      <c r="J178" s="242"/>
      <c r="K178" s="242"/>
      <c r="L178" s="242"/>
      <c r="M178" s="242"/>
      <c r="N178" s="242"/>
      <c r="O178" s="242"/>
      <c r="P178" s="242"/>
      <c r="Q178" s="251"/>
      <c r="R178" s="262"/>
      <c r="S178" s="225">
        <f t="shared" si="6"/>
        <v>0</v>
      </c>
      <c r="T178" s="231">
        <f t="shared" si="7"/>
        <v>0</v>
      </c>
      <c r="U178" s="225">
        <f t="shared" si="8"/>
        <v>0</v>
      </c>
      <c r="V178" s="225">
        <f t="shared" si="9"/>
        <v>0</v>
      </c>
      <c r="W178" s="231">
        <f t="shared" si="10"/>
        <v>0</v>
      </c>
      <c r="X178" s="231"/>
    </row>
    <row r="179" spans="1:24" x14ac:dyDescent="0.25">
      <c r="A179" s="157" t="s">
        <v>138</v>
      </c>
      <c r="B179" s="140" t="s">
        <v>139</v>
      </c>
      <c r="C179" s="287" t="s">
        <v>373</v>
      </c>
      <c r="D179" s="18">
        <v>12</v>
      </c>
      <c r="E179" s="25">
        <v>70</v>
      </c>
      <c r="F179" s="3">
        <f t="shared" si="11"/>
        <v>840</v>
      </c>
      <c r="G179" s="51">
        <f>F179*$C$4</f>
        <v>1184.3999999999999</v>
      </c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62"/>
      <c r="S179" s="225">
        <f t="shared" si="6"/>
        <v>-840</v>
      </c>
      <c r="T179" s="231">
        <f t="shared" si="7"/>
        <v>-1</v>
      </c>
      <c r="U179" s="225">
        <f t="shared" si="8"/>
        <v>0</v>
      </c>
      <c r="V179" s="225">
        <f t="shared" si="9"/>
        <v>-1184.3999999999999</v>
      </c>
      <c r="W179" s="231">
        <f t="shared" si="10"/>
        <v>-1</v>
      </c>
      <c r="X179" s="231"/>
    </row>
    <row r="180" spans="1:24" x14ac:dyDescent="0.25">
      <c r="A180" s="157" t="s">
        <v>245</v>
      </c>
      <c r="B180" s="140" t="s">
        <v>165</v>
      </c>
      <c r="C180" s="287" t="s">
        <v>515</v>
      </c>
      <c r="D180" s="18">
        <v>1</v>
      </c>
      <c r="E180" s="18">
        <v>1500</v>
      </c>
      <c r="F180" s="3">
        <f t="shared" si="11"/>
        <v>1500</v>
      </c>
      <c r="G180" s="51">
        <f>F180*$C$4</f>
        <v>2115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/>
      <c r="T180" s="231"/>
      <c r="U180" s="225"/>
      <c r="V180" s="225"/>
      <c r="W180" s="231"/>
      <c r="X180" s="231"/>
    </row>
    <row r="181" spans="1:24" x14ac:dyDescent="0.25">
      <c r="A181" s="157" t="s">
        <v>561</v>
      </c>
      <c r="B181" s="140" t="s">
        <v>562</v>
      </c>
      <c r="C181" s="21" t="s">
        <v>515</v>
      </c>
      <c r="D181" s="18">
        <v>2</v>
      </c>
      <c r="E181" s="18">
        <v>1269.3</v>
      </c>
      <c r="F181" s="3">
        <f t="shared" si="11"/>
        <v>2538.6</v>
      </c>
      <c r="G181" s="51">
        <f>F181*$C$4</f>
        <v>3579.4259999999995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6"/>
        <v>-2538.6</v>
      </c>
      <c r="T181" s="231">
        <f t="shared" si="7"/>
        <v>-1</v>
      </c>
      <c r="U181" s="225">
        <f t="shared" si="8"/>
        <v>0</v>
      </c>
      <c r="V181" s="225">
        <f t="shared" si="9"/>
        <v>-3579.4259999999995</v>
      </c>
      <c r="W181" s="231">
        <f t="shared" si="10"/>
        <v>-1</v>
      </c>
      <c r="X181" s="231"/>
    </row>
    <row r="182" spans="1:24" x14ac:dyDescent="0.25">
      <c r="B182" s="109"/>
      <c r="C182" s="9"/>
      <c r="D182" s="6"/>
      <c r="E182" s="7"/>
      <c r="G182" s="48"/>
      <c r="H182" s="245"/>
      <c r="I182" s="245"/>
      <c r="J182" s="245"/>
      <c r="K182" s="245"/>
      <c r="L182" s="245"/>
      <c r="M182" s="245"/>
      <c r="N182" s="245"/>
      <c r="O182" s="245"/>
      <c r="P182" s="245"/>
      <c r="Q182" s="254"/>
      <c r="R182" s="261"/>
      <c r="S182" s="225"/>
      <c r="T182" s="231"/>
      <c r="U182" s="225"/>
      <c r="V182" s="225"/>
      <c r="W182" s="231"/>
      <c r="X182" s="231"/>
    </row>
    <row r="183" spans="1:24" ht="13.8" thickBot="1" x14ac:dyDescent="0.3">
      <c r="A183" s="99"/>
      <c r="B183" s="146" t="s">
        <v>108</v>
      </c>
      <c r="C183" s="118"/>
      <c r="D183" s="122"/>
      <c r="E183" s="123"/>
      <c r="F183" s="50">
        <f>SUM(F173:F181)</f>
        <v>5718.6</v>
      </c>
      <c r="G183" s="50">
        <f>SUM(G173:G181)</f>
        <v>8063.2259999999987</v>
      </c>
      <c r="H183" s="244"/>
      <c r="I183" s="244"/>
      <c r="J183" s="244"/>
      <c r="K183" s="244"/>
      <c r="L183" s="244"/>
      <c r="M183" s="244"/>
      <c r="N183" s="244"/>
      <c r="O183" s="244"/>
      <c r="P183" s="244"/>
      <c r="Q183" s="253"/>
      <c r="R183" s="263"/>
      <c r="S183" s="237">
        <f t="shared" si="6"/>
        <v>-5718.6</v>
      </c>
      <c r="T183" s="238">
        <f t="shared" si="7"/>
        <v>-1</v>
      </c>
      <c r="U183" s="237">
        <f t="shared" si="8"/>
        <v>0</v>
      </c>
      <c r="V183" s="237">
        <f t="shared" si="9"/>
        <v>-8063.2259999999987</v>
      </c>
      <c r="W183" s="238">
        <f t="shared" si="10"/>
        <v>-1</v>
      </c>
      <c r="X183" s="238"/>
    </row>
    <row r="184" spans="1:24" ht="13.8" thickTop="1" x14ac:dyDescent="0.25">
      <c r="B184" s="77"/>
      <c r="C184" s="162"/>
      <c r="D184" s="161"/>
      <c r="E184" s="74"/>
      <c r="F184" s="48"/>
      <c r="G184" s="1"/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57"/>
      <c r="S184" s="225"/>
      <c r="T184" s="231"/>
      <c r="U184" s="225"/>
      <c r="V184" s="225"/>
      <c r="W184" s="231"/>
      <c r="X184" s="231"/>
    </row>
    <row r="185" spans="1:24" x14ac:dyDescent="0.25">
      <c r="A185" s="125">
        <v>4</v>
      </c>
      <c r="B185" s="126" t="s">
        <v>107</v>
      </c>
      <c r="C185" s="130"/>
      <c r="D185" s="129"/>
      <c r="E185" s="131"/>
      <c r="F185" s="131"/>
      <c r="G185" s="147"/>
      <c r="H185" s="241"/>
      <c r="I185" s="241"/>
      <c r="J185" s="241"/>
      <c r="K185" s="241"/>
      <c r="L185" s="241"/>
      <c r="M185" s="241"/>
      <c r="N185" s="241"/>
      <c r="O185" s="241"/>
      <c r="P185" s="241"/>
      <c r="Q185" s="252"/>
      <c r="R185" s="260"/>
      <c r="S185" s="230"/>
      <c r="T185" s="232"/>
      <c r="U185" s="230"/>
      <c r="V185" s="230"/>
      <c r="W185" s="232"/>
      <c r="X185" s="232"/>
    </row>
    <row r="186" spans="1:24" x14ac:dyDescent="0.25">
      <c r="A186" s="70" t="s">
        <v>19</v>
      </c>
      <c r="B186" s="77"/>
      <c r="C186" s="162"/>
      <c r="D186" s="161"/>
      <c r="E186" s="74"/>
      <c r="F186" s="48"/>
      <c r="G186" s="1"/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57"/>
      <c r="S186" s="225"/>
      <c r="T186" s="231"/>
      <c r="U186" s="225"/>
      <c r="V186" s="225"/>
      <c r="W186" s="231"/>
      <c r="X186" s="231"/>
    </row>
    <row r="187" spans="1:24" x14ac:dyDescent="0.25">
      <c r="A187" s="77" t="s">
        <v>142</v>
      </c>
      <c r="B187" s="163" t="s">
        <v>563</v>
      </c>
      <c r="C187" s="287" t="s">
        <v>373</v>
      </c>
      <c r="D187" s="25">
        <v>12</v>
      </c>
      <c r="E187" s="18">
        <v>789</v>
      </c>
      <c r="F187" s="48">
        <f>D187*E187</f>
        <v>9468</v>
      </c>
      <c r="G187" s="1">
        <f>F187*C4</f>
        <v>13349.88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6"/>
        <v>-9468</v>
      </c>
      <c r="T187" s="231">
        <f t="shared" si="7"/>
        <v>-1</v>
      </c>
      <c r="U187" s="225">
        <f t="shared" si="8"/>
        <v>0</v>
      </c>
      <c r="V187" s="225">
        <f t="shared" si="9"/>
        <v>-13349.88</v>
      </c>
      <c r="W187" s="231">
        <f t="shared" si="10"/>
        <v>-1</v>
      </c>
      <c r="X187" s="231"/>
    </row>
    <row r="188" spans="1:24" x14ac:dyDescent="0.25">
      <c r="A188" s="77" t="s">
        <v>143</v>
      </c>
      <c r="B188" s="163" t="s">
        <v>564</v>
      </c>
      <c r="C188" s="287" t="s">
        <v>373</v>
      </c>
      <c r="D188" s="25">
        <v>12</v>
      </c>
      <c r="E188" s="18">
        <v>1160</v>
      </c>
      <c r="F188" s="48">
        <f>D188*E188*0.3</f>
        <v>4176</v>
      </c>
      <c r="G188" s="1">
        <f>F188*C4</f>
        <v>5888.16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6"/>
        <v>-4176</v>
      </c>
      <c r="T188" s="231">
        <f t="shared" si="7"/>
        <v>-1</v>
      </c>
      <c r="U188" s="225">
        <f t="shared" si="8"/>
        <v>0</v>
      </c>
      <c r="V188" s="225">
        <f t="shared" si="9"/>
        <v>-5888.16</v>
      </c>
      <c r="W188" s="231">
        <f t="shared" si="10"/>
        <v>-1</v>
      </c>
      <c r="X188" s="231"/>
    </row>
    <row r="189" spans="1:24" x14ac:dyDescent="0.25">
      <c r="A189" s="70" t="s">
        <v>7</v>
      </c>
      <c r="B189" s="137"/>
      <c r="C189" s="22"/>
      <c r="D189" s="44"/>
      <c r="E189" s="14"/>
      <c r="F189" s="48"/>
      <c r="G189" s="1"/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57"/>
      <c r="S189" s="225"/>
      <c r="T189" s="231"/>
      <c r="U189" s="225"/>
      <c r="V189" s="225"/>
      <c r="W189" s="231"/>
      <c r="X189" s="231"/>
    </row>
    <row r="190" spans="1:24" ht="26.4" x14ac:dyDescent="0.25">
      <c r="A190" s="77" t="s">
        <v>144</v>
      </c>
      <c r="B190" s="163" t="s">
        <v>565</v>
      </c>
      <c r="C190" s="21" t="s">
        <v>566</v>
      </c>
      <c r="D190" s="25">
        <v>2</v>
      </c>
      <c r="E190" s="18">
        <f>5000+1500</f>
        <v>6500</v>
      </c>
      <c r="F190" s="48">
        <f>D190*E190</f>
        <v>13000</v>
      </c>
      <c r="G190" s="49">
        <f>F190*C4</f>
        <v>18330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6"/>
        <v>-13000</v>
      </c>
      <c r="T190" s="231">
        <f t="shared" si="7"/>
        <v>-1</v>
      </c>
      <c r="U190" s="225">
        <f t="shared" si="8"/>
        <v>0</v>
      </c>
      <c r="V190" s="225">
        <f t="shared" si="9"/>
        <v>-18330</v>
      </c>
      <c r="W190" s="231">
        <f t="shared" si="10"/>
        <v>-1</v>
      </c>
      <c r="X190" s="231"/>
    </row>
    <row r="191" spans="1:24" hidden="1" x14ac:dyDescent="0.25">
      <c r="A191" s="77" t="s">
        <v>145</v>
      </c>
      <c r="B191" s="137" t="s">
        <v>47</v>
      </c>
      <c r="C191" s="35"/>
      <c r="D191" s="36"/>
      <c r="E191" s="39"/>
      <c r="F191" s="48">
        <f>D191*E191</f>
        <v>0</v>
      </c>
      <c r="G191" s="49">
        <f>F191*C4</f>
        <v>0</v>
      </c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62"/>
      <c r="S191" s="225">
        <f t="shared" si="6"/>
        <v>0</v>
      </c>
      <c r="T191" s="231">
        <f t="shared" si="7"/>
        <v>0</v>
      </c>
      <c r="U191" s="225">
        <f t="shared" si="8"/>
        <v>0</v>
      </c>
      <c r="V191" s="225">
        <f t="shared" si="9"/>
        <v>0</v>
      </c>
      <c r="W191" s="231">
        <f t="shared" si="10"/>
        <v>0</v>
      </c>
      <c r="X191" s="231"/>
    </row>
    <row r="192" spans="1:24" x14ac:dyDescent="0.25">
      <c r="A192" s="70" t="s">
        <v>8</v>
      </c>
      <c r="B192" s="137"/>
      <c r="C192" s="52"/>
      <c r="D192" s="23"/>
      <c r="E192" s="24"/>
      <c r="F192" s="48"/>
      <c r="G192" s="1"/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/>
      <c r="T192" s="231"/>
      <c r="U192" s="225"/>
      <c r="V192" s="225"/>
      <c r="W192" s="231"/>
      <c r="X192" s="231"/>
    </row>
    <row r="193" spans="1:24" ht="26.4" x14ac:dyDescent="0.25">
      <c r="A193" s="77" t="s">
        <v>150</v>
      </c>
      <c r="B193" s="140" t="s">
        <v>567</v>
      </c>
      <c r="C193" s="287" t="s">
        <v>373</v>
      </c>
      <c r="D193" s="25">
        <v>12</v>
      </c>
      <c r="E193" s="18">
        <v>624</v>
      </c>
      <c r="F193" s="48">
        <f>D193*E193*0.7</f>
        <v>5241.5999999999995</v>
      </c>
      <c r="G193" s="1">
        <f>F193*C4</f>
        <v>7390.655999999999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62"/>
      <c r="S193" s="225">
        <f t="shared" si="6"/>
        <v>-5241.5999999999995</v>
      </c>
      <c r="T193" s="231">
        <f t="shared" si="7"/>
        <v>-1</v>
      </c>
      <c r="U193" s="225">
        <f t="shared" si="8"/>
        <v>0</v>
      </c>
      <c r="V193" s="225">
        <f t="shared" si="9"/>
        <v>-7390.655999999999</v>
      </c>
      <c r="W193" s="231">
        <f t="shared" si="10"/>
        <v>-1</v>
      </c>
      <c r="X193" s="231"/>
    </row>
    <row r="194" spans="1:24" hidden="1" x14ac:dyDescent="0.25">
      <c r="A194" s="77" t="s">
        <v>146</v>
      </c>
      <c r="B194" s="149" t="s">
        <v>50</v>
      </c>
      <c r="C194" s="21"/>
      <c r="D194" s="25"/>
      <c r="E194" s="18"/>
      <c r="F194" s="48">
        <f>D194*E194</f>
        <v>0</v>
      </c>
      <c r="G194" s="1">
        <f>F194*C4</f>
        <v>0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62"/>
      <c r="S194" s="225">
        <f t="shared" si="6"/>
        <v>0</v>
      </c>
      <c r="T194" s="231">
        <f t="shared" si="7"/>
        <v>0</v>
      </c>
      <c r="U194" s="225">
        <f t="shared" si="8"/>
        <v>0</v>
      </c>
      <c r="V194" s="225">
        <f t="shared" si="9"/>
        <v>0</v>
      </c>
      <c r="W194" s="231">
        <f t="shared" si="10"/>
        <v>0</v>
      </c>
      <c r="X194" s="231"/>
    </row>
    <row r="195" spans="1:24" x14ac:dyDescent="0.25">
      <c r="A195" s="77" t="s">
        <v>147</v>
      </c>
      <c r="B195" s="149" t="s">
        <v>568</v>
      </c>
      <c r="C195" s="287" t="s">
        <v>373</v>
      </c>
      <c r="D195" s="25">
        <v>12</v>
      </c>
      <c r="E195" s="291">
        <v>580</v>
      </c>
      <c r="F195" s="48">
        <f>D195*E195*0.3</f>
        <v>2088</v>
      </c>
      <c r="G195" s="1">
        <f>F195*C4</f>
        <v>2944.08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62"/>
      <c r="S195" s="225">
        <f t="shared" si="6"/>
        <v>-2088</v>
      </c>
      <c r="T195" s="231">
        <f t="shared" si="7"/>
        <v>-1</v>
      </c>
      <c r="U195" s="225">
        <f t="shared" si="8"/>
        <v>0</v>
      </c>
      <c r="V195" s="225">
        <f t="shared" si="9"/>
        <v>-2944.08</v>
      </c>
      <c r="W195" s="231">
        <f t="shared" si="10"/>
        <v>-1</v>
      </c>
      <c r="X195" s="231"/>
    </row>
    <row r="196" spans="1:24" x14ac:dyDescent="0.25">
      <c r="A196" s="77" t="s">
        <v>148</v>
      </c>
      <c r="B196" s="149" t="s">
        <v>569</v>
      </c>
      <c r="C196" s="287" t="s">
        <v>373</v>
      </c>
      <c r="D196" s="25">
        <v>12</v>
      </c>
      <c r="E196" s="292">
        <v>150</v>
      </c>
      <c r="F196" s="48">
        <f>D196*E196*0.3</f>
        <v>540</v>
      </c>
      <c r="G196" s="1">
        <f>F196*C4</f>
        <v>761.4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62"/>
      <c r="S196" s="225">
        <f t="shared" si="6"/>
        <v>-540</v>
      </c>
      <c r="T196" s="231">
        <f t="shared" si="7"/>
        <v>-1</v>
      </c>
      <c r="U196" s="225">
        <f t="shared" si="8"/>
        <v>0</v>
      </c>
      <c r="V196" s="225">
        <f t="shared" si="9"/>
        <v>-761.4</v>
      </c>
      <c r="W196" s="231">
        <f t="shared" si="10"/>
        <v>-1</v>
      </c>
      <c r="X196" s="231"/>
    </row>
    <row r="197" spans="1:24" hidden="1" x14ac:dyDescent="0.25">
      <c r="A197" s="77" t="s">
        <v>149</v>
      </c>
      <c r="B197" s="149" t="s">
        <v>570</v>
      </c>
      <c r="C197" s="21"/>
      <c r="D197" s="25"/>
      <c r="E197" s="292"/>
      <c r="F197" s="48">
        <f>D197*E197</f>
        <v>0</v>
      </c>
      <c r="G197" s="1">
        <f>F197*C4</f>
        <v>0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62"/>
      <c r="S197" s="225">
        <f t="shared" si="6"/>
        <v>0</v>
      </c>
      <c r="T197" s="231">
        <f t="shared" si="7"/>
        <v>0</v>
      </c>
      <c r="U197" s="225">
        <f t="shared" si="8"/>
        <v>0</v>
      </c>
      <c r="V197" s="225">
        <f t="shared" si="9"/>
        <v>0</v>
      </c>
      <c r="W197" s="231">
        <f t="shared" si="10"/>
        <v>0</v>
      </c>
      <c r="X197" s="231"/>
    </row>
    <row r="198" spans="1:24" x14ac:dyDescent="0.25">
      <c r="C198" s="5"/>
      <c r="D198" s="5"/>
      <c r="E198" s="5"/>
      <c r="F198" s="168"/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57"/>
      <c r="S198" s="225"/>
      <c r="T198" s="231"/>
      <c r="U198" s="225"/>
      <c r="V198" s="225"/>
      <c r="W198" s="231"/>
      <c r="X198" s="231"/>
    </row>
    <row r="199" spans="1:24" hidden="1" x14ac:dyDescent="0.25">
      <c r="A199" s="200"/>
      <c r="B199" s="201" t="s">
        <v>188</v>
      </c>
      <c r="C199" s="201"/>
      <c r="D199" s="201"/>
      <c r="E199" s="201"/>
      <c r="F199" s="202">
        <f>SUM(F187:F189)</f>
        <v>13644</v>
      </c>
      <c r="G199" s="201">
        <f>SUM(G187:G189)</f>
        <v>19238.04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57"/>
      <c r="S199" s="225">
        <f t="shared" si="6"/>
        <v>-13644</v>
      </c>
      <c r="T199" s="231">
        <f t="shared" si="7"/>
        <v>-1</v>
      </c>
      <c r="U199" s="225">
        <f t="shared" si="8"/>
        <v>0</v>
      </c>
      <c r="V199" s="225">
        <f t="shared" si="9"/>
        <v>-19238.04</v>
      </c>
      <c r="W199" s="231">
        <f t="shared" si="10"/>
        <v>-1</v>
      </c>
      <c r="X199" s="231"/>
    </row>
    <row r="200" spans="1:24" hidden="1" x14ac:dyDescent="0.25">
      <c r="A200" s="200"/>
      <c r="B200" s="201" t="s">
        <v>7</v>
      </c>
      <c r="C200" s="201"/>
      <c r="D200" s="201"/>
      <c r="E200" s="201"/>
      <c r="F200" s="202">
        <f>SUM(F190:F192)</f>
        <v>13000</v>
      </c>
      <c r="G200" s="201">
        <f>SUM(G190:G192)</f>
        <v>18330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57"/>
      <c r="S200" s="225">
        <f t="shared" si="6"/>
        <v>-13000</v>
      </c>
      <c r="T200" s="231">
        <f t="shared" si="7"/>
        <v>-1</v>
      </c>
      <c r="U200" s="225">
        <f t="shared" si="8"/>
        <v>0</v>
      </c>
      <c r="V200" s="225">
        <f t="shared" si="9"/>
        <v>-18330</v>
      </c>
      <c r="W200" s="231">
        <f t="shared" si="10"/>
        <v>-1</v>
      </c>
      <c r="X200" s="231"/>
    </row>
    <row r="201" spans="1:24" hidden="1" x14ac:dyDescent="0.25">
      <c r="A201" s="200"/>
      <c r="B201" s="201" t="s">
        <v>8</v>
      </c>
      <c r="C201" s="201"/>
      <c r="D201" s="201"/>
      <c r="E201" s="201"/>
      <c r="F201" s="202">
        <f>SUM(F193:F198)</f>
        <v>7869.5999999999995</v>
      </c>
      <c r="G201" s="201">
        <f>SUM(G193:G198)</f>
        <v>11096.135999999999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57"/>
      <c r="S201" s="225">
        <f t="shared" si="6"/>
        <v>-7869.5999999999995</v>
      </c>
      <c r="T201" s="231">
        <f t="shared" si="7"/>
        <v>-1</v>
      </c>
      <c r="U201" s="225">
        <f t="shared" si="8"/>
        <v>0</v>
      </c>
      <c r="V201" s="225">
        <f t="shared" si="9"/>
        <v>-11096.135999999999</v>
      </c>
      <c r="W201" s="231">
        <f t="shared" si="10"/>
        <v>-1</v>
      </c>
      <c r="X201" s="231"/>
    </row>
    <row r="202" spans="1:24" ht="13.8" thickBot="1" x14ac:dyDescent="0.3">
      <c r="A202" s="99"/>
      <c r="B202" s="146" t="s">
        <v>109</v>
      </c>
      <c r="C202" s="118"/>
      <c r="D202" s="122"/>
      <c r="E202" s="123"/>
      <c r="F202" s="50">
        <f>SUM(F187+F188+F190+F191+F193+F194+F195+F196+F197)</f>
        <v>34513.599999999999</v>
      </c>
      <c r="G202" s="50">
        <f>SUM(G187+G188+G190+G191+G193+G195+G194+G196+G197)</f>
        <v>48664.175999999999</v>
      </c>
      <c r="H202" s="244"/>
      <c r="I202" s="244"/>
      <c r="J202" s="244"/>
      <c r="K202" s="244"/>
      <c r="L202" s="244"/>
      <c r="M202" s="244"/>
      <c r="N202" s="244"/>
      <c r="O202" s="244"/>
      <c r="P202" s="244"/>
      <c r="Q202" s="253"/>
      <c r="R202" s="263"/>
      <c r="S202" s="237">
        <f t="shared" si="6"/>
        <v>-34513.599999999999</v>
      </c>
      <c r="T202" s="238">
        <f t="shared" si="7"/>
        <v>-1</v>
      </c>
      <c r="U202" s="237">
        <f t="shared" si="8"/>
        <v>0</v>
      </c>
      <c r="V202" s="237">
        <f t="shared" si="9"/>
        <v>-48664.175999999999</v>
      </c>
      <c r="W202" s="238">
        <f t="shared" si="10"/>
        <v>-1</v>
      </c>
      <c r="X202" s="238"/>
    </row>
    <row r="203" spans="1:24" ht="13.8" thickTop="1" x14ac:dyDescent="0.25">
      <c r="A203" s="99"/>
      <c r="B203" s="146"/>
      <c r="C203" s="118"/>
      <c r="D203" s="122"/>
      <c r="E203" s="123"/>
      <c r="F203" s="169"/>
      <c r="G203" s="169"/>
      <c r="H203" s="244"/>
      <c r="I203" s="244"/>
      <c r="J203" s="244"/>
      <c r="K203" s="244"/>
      <c r="L203" s="244"/>
      <c r="M203" s="244"/>
      <c r="N203" s="244"/>
      <c r="O203" s="244"/>
      <c r="P203" s="244"/>
      <c r="Q203" s="253"/>
      <c r="R203" s="259"/>
      <c r="S203" s="225"/>
      <c r="T203" s="231"/>
      <c r="U203" s="225"/>
      <c r="V203" s="225"/>
      <c r="W203" s="231"/>
      <c r="X203" s="231"/>
    </row>
    <row r="204" spans="1:24" x14ac:dyDescent="0.25">
      <c r="A204" s="125">
        <v>5</v>
      </c>
      <c r="B204" s="126" t="s">
        <v>111</v>
      </c>
      <c r="C204" s="130"/>
      <c r="D204" s="129"/>
      <c r="E204" s="131"/>
      <c r="F204" s="131"/>
      <c r="G204" s="147"/>
      <c r="H204" s="241"/>
      <c r="I204" s="241"/>
      <c r="J204" s="241"/>
      <c r="K204" s="241"/>
      <c r="L204" s="241"/>
      <c r="M204" s="241"/>
      <c r="N204" s="241"/>
      <c r="O204" s="241"/>
      <c r="P204" s="241"/>
      <c r="Q204" s="252"/>
      <c r="R204" s="260"/>
      <c r="S204" s="230"/>
      <c r="T204" s="232"/>
      <c r="U204" s="230"/>
      <c r="V204" s="230"/>
      <c r="W204" s="232"/>
      <c r="X204" s="232"/>
    </row>
    <row r="205" spans="1:24" x14ac:dyDescent="0.25">
      <c r="A205" s="77" t="s">
        <v>151</v>
      </c>
      <c r="B205" s="163" t="s">
        <v>571</v>
      </c>
      <c r="C205" s="21" t="s">
        <v>574</v>
      </c>
      <c r="D205" s="25">
        <v>2</v>
      </c>
      <c r="E205" s="18">
        <v>525</v>
      </c>
      <c r="F205" s="48">
        <f>D205*E205</f>
        <v>1050</v>
      </c>
      <c r="G205" s="49">
        <f>F205*C4</f>
        <v>1480.5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62"/>
      <c r="S205" s="225">
        <f t="shared" si="6"/>
        <v>-1050</v>
      </c>
      <c r="T205" s="231">
        <f t="shared" si="7"/>
        <v>-1</v>
      </c>
      <c r="U205" s="225">
        <f t="shared" si="8"/>
        <v>0</v>
      </c>
      <c r="V205" s="225">
        <f t="shared" si="9"/>
        <v>-1480.5</v>
      </c>
      <c r="W205" s="231">
        <f t="shared" si="10"/>
        <v>-1</v>
      </c>
      <c r="X205" s="231"/>
    </row>
    <row r="206" spans="1:24" x14ac:dyDescent="0.25">
      <c r="A206" s="77" t="s">
        <v>152</v>
      </c>
      <c r="B206" s="163" t="s">
        <v>572</v>
      </c>
      <c r="C206" s="21" t="s">
        <v>390</v>
      </c>
      <c r="D206" s="25">
        <v>2</v>
      </c>
      <c r="E206" s="18">
        <v>200</v>
      </c>
      <c r="F206" s="48">
        <f>D206*E206</f>
        <v>400</v>
      </c>
      <c r="G206" s="49">
        <f>F206*C4</f>
        <v>564</v>
      </c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62"/>
      <c r="S206" s="225">
        <f t="shared" si="6"/>
        <v>-400</v>
      </c>
      <c r="T206" s="231">
        <f t="shared" si="7"/>
        <v>-1</v>
      </c>
      <c r="U206" s="225">
        <f t="shared" si="8"/>
        <v>0</v>
      </c>
      <c r="V206" s="225">
        <f t="shared" si="9"/>
        <v>-564</v>
      </c>
      <c r="W206" s="231">
        <f t="shared" si="10"/>
        <v>-1</v>
      </c>
      <c r="X206" s="231"/>
    </row>
    <row r="207" spans="1:24" ht="26.4" x14ac:dyDescent="0.25">
      <c r="A207" s="77" t="s">
        <v>153</v>
      </c>
      <c r="B207" s="163" t="s">
        <v>573</v>
      </c>
      <c r="C207" s="21" t="s">
        <v>364</v>
      </c>
      <c r="D207" s="25">
        <v>1</v>
      </c>
      <c r="E207" s="18">
        <v>500</v>
      </c>
      <c r="F207" s="48">
        <f>D207*E207</f>
        <v>500</v>
      </c>
      <c r="G207" s="49">
        <f>F207*C4</f>
        <v>705</v>
      </c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62"/>
      <c r="S207" s="225">
        <f t="shared" si="6"/>
        <v>-500</v>
      </c>
      <c r="T207" s="231">
        <f t="shared" si="7"/>
        <v>-1</v>
      </c>
      <c r="U207" s="225">
        <f t="shared" si="8"/>
        <v>0</v>
      </c>
      <c r="V207" s="225">
        <f t="shared" si="9"/>
        <v>-705</v>
      </c>
      <c r="W207" s="231">
        <f t="shared" si="10"/>
        <v>-1</v>
      </c>
      <c r="X207" s="231"/>
    </row>
    <row r="208" spans="1:24" hidden="1" x14ac:dyDescent="0.25">
      <c r="A208" s="77" t="s">
        <v>154</v>
      </c>
      <c r="B208" s="163" t="s">
        <v>14</v>
      </c>
      <c r="C208" s="35"/>
      <c r="D208" s="36"/>
      <c r="E208" s="39"/>
      <c r="F208" s="48">
        <f>D208*E208</f>
        <v>0</v>
      </c>
      <c r="G208" s="49">
        <f>F208*C4</f>
        <v>0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62"/>
      <c r="S208" s="225">
        <f t="shared" si="6"/>
        <v>0</v>
      </c>
      <c r="T208" s="231">
        <f t="shared" si="7"/>
        <v>0</v>
      </c>
      <c r="U208" s="225">
        <f t="shared" si="8"/>
        <v>0</v>
      </c>
      <c r="V208" s="225">
        <f t="shared" si="9"/>
        <v>0</v>
      </c>
      <c r="W208" s="231">
        <f t="shared" si="10"/>
        <v>0</v>
      </c>
      <c r="X208" s="231"/>
    </row>
    <row r="209" spans="1:24" ht="39.6" x14ac:dyDescent="0.25">
      <c r="A209" s="77" t="s">
        <v>155</v>
      </c>
      <c r="B209" s="163" t="s">
        <v>56</v>
      </c>
      <c r="C209" s="21" t="s">
        <v>391</v>
      </c>
      <c r="D209" s="25">
        <v>1</v>
      </c>
      <c r="E209" s="18">
        <v>700</v>
      </c>
      <c r="F209" s="48">
        <f>D209*E209</f>
        <v>700</v>
      </c>
      <c r="G209" s="49">
        <f>F209*C4</f>
        <v>987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6"/>
        <v>-700</v>
      </c>
      <c r="T209" s="231">
        <f t="shared" si="7"/>
        <v>-1</v>
      </c>
      <c r="U209" s="225">
        <f t="shared" si="8"/>
        <v>0</v>
      </c>
      <c r="V209" s="225">
        <f t="shared" si="9"/>
        <v>-987</v>
      </c>
      <c r="W209" s="231">
        <f t="shared" si="10"/>
        <v>-1</v>
      </c>
      <c r="X209" s="231"/>
    </row>
    <row r="210" spans="1:24" x14ac:dyDescent="0.25">
      <c r="B210" s="163"/>
      <c r="C210" s="6"/>
      <c r="D210" s="7"/>
      <c r="E210" s="8"/>
      <c r="F210" s="48"/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57"/>
      <c r="S210" s="225"/>
      <c r="T210" s="231"/>
      <c r="U210" s="225"/>
      <c r="V210" s="225"/>
      <c r="W210" s="231"/>
      <c r="X210" s="231"/>
    </row>
    <row r="211" spans="1:24" ht="13.8" thickBot="1" x14ac:dyDescent="0.3">
      <c r="A211" s="99"/>
      <c r="B211" s="146" t="s">
        <v>112</v>
      </c>
      <c r="C211" s="118"/>
      <c r="D211" s="122"/>
      <c r="E211" s="123"/>
      <c r="F211" s="50">
        <f>SUM(F205:F209)</f>
        <v>2650</v>
      </c>
      <c r="G211" s="50">
        <f>SUM(G205:G209)</f>
        <v>3736.5</v>
      </c>
      <c r="H211" s="244"/>
      <c r="I211" s="244"/>
      <c r="J211" s="244"/>
      <c r="K211" s="244"/>
      <c r="L211" s="244"/>
      <c r="M211" s="244"/>
      <c r="N211" s="244"/>
      <c r="O211" s="244"/>
      <c r="P211" s="244"/>
      <c r="Q211" s="253"/>
      <c r="R211" s="263"/>
      <c r="S211" s="237">
        <f t="shared" si="6"/>
        <v>-2650</v>
      </c>
      <c r="T211" s="238">
        <f t="shared" si="7"/>
        <v>-1</v>
      </c>
      <c r="U211" s="237">
        <f t="shared" si="8"/>
        <v>0</v>
      </c>
      <c r="V211" s="237">
        <f t="shared" si="9"/>
        <v>-3736.5</v>
      </c>
      <c r="W211" s="238">
        <f t="shared" si="10"/>
        <v>-1</v>
      </c>
      <c r="X211" s="238"/>
    </row>
    <row r="212" spans="1:24" ht="13.8" thickTop="1" x14ac:dyDescent="0.25">
      <c r="B212" s="163"/>
      <c r="F212" s="48"/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57"/>
      <c r="S212" s="225"/>
      <c r="T212" s="231"/>
      <c r="U212" s="225"/>
      <c r="V212" s="225"/>
      <c r="W212" s="231"/>
      <c r="X212" s="231"/>
    </row>
    <row r="213" spans="1:24" x14ac:dyDescent="0.25">
      <c r="A213" s="125">
        <v>6</v>
      </c>
      <c r="B213" s="126" t="s">
        <v>113</v>
      </c>
      <c r="C213" s="130"/>
      <c r="D213" s="129"/>
      <c r="E213" s="131"/>
      <c r="F213" s="131"/>
      <c r="G213" s="147"/>
      <c r="H213" s="241"/>
      <c r="I213" s="241"/>
      <c r="J213" s="241"/>
      <c r="K213" s="241"/>
      <c r="L213" s="241"/>
      <c r="M213" s="241"/>
      <c r="N213" s="241"/>
      <c r="O213" s="241"/>
      <c r="P213" s="241"/>
      <c r="Q213" s="252"/>
      <c r="R213" s="260"/>
      <c r="S213" s="230"/>
      <c r="T213" s="232"/>
      <c r="U213" s="230"/>
      <c r="V213" s="230"/>
      <c r="W213" s="232"/>
      <c r="X213" s="232"/>
    </row>
    <row r="214" spans="1:24" hidden="1" x14ac:dyDescent="0.25">
      <c r="A214" s="99" t="s">
        <v>114</v>
      </c>
      <c r="B214" s="99" t="s">
        <v>71</v>
      </c>
      <c r="C214" s="2"/>
      <c r="D214" s="142"/>
      <c r="E214" s="143"/>
      <c r="F214" s="3"/>
      <c r="G214" s="53"/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56"/>
      <c r="S214" s="225"/>
      <c r="T214" s="231"/>
      <c r="U214" s="225"/>
      <c r="V214" s="225"/>
      <c r="W214" s="231"/>
      <c r="X214" s="231"/>
    </row>
    <row r="215" spans="1:24" hidden="1" x14ac:dyDescent="0.25">
      <c r="A215" s="109" t="s">
        <v>115</v>
      </c>
      <c r="B215" s="170" t="s">
        <v>72</v>
      </c>
      <c r="C215" s="35"/>
      <c r="D215" s="36"/>
      <c r="E215" s="39"/>
      <c r="F215" s="3">
        <f>D215*E215</f>
        <v>0</v>
      </c>
      <c r="G215" s="53">
        <f>F215*C4</f>
        <v>0</v>
      </c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62"/>
      <c r="S215" s="225">
        <f t="shared" si="6"/>
        <v>0</v>
      </c>
      <c r="T215" s="231">
        <f t="shared" si="7"/>
        <v>0</v>
      </c>
      <c r="U215" s="225">
        <f t="shared" si="8"/>
        <v>0</v>
      </c>
      <c r="V215" s="225">
        <f t="shared" si="9"/>
        <v>0</v>
      </c>
      <c r="W215" s="231">
        <f t="shared" si="10"/>
        <v>0</v>
      </c>
      <c r="X215" s="231"/>
    </row>
    <row r="216" spans="1:24" hidden="1" x14ac:dyDescent="0.25">
      <c r="A216" s="109" t="s">
        <v>116</v>
      </c>
      <c r="B216" s="170" t="s">
        <v>73</v>
      </c>
      <c r="C216" s="35"/>
      <c r="D216" s="36"/>
      <c r="E216" s="39"/>
      <c r="F216" s="3">
        <f>D216*E216</f>
        <v>0</v>
      </c>
      <c r="G216" s="53">
        <f>F216*C4</f>
        <v>0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 t="shared" si="6"/>
        <v>0</v>
      </c>
      <c r="T216" s="231">
        <f t="shared" si="7"/>
        <v>0</v>
      </c>
      <c r="U216" s="225">
        <f t="shared" si="8"/>
        <v>0</v>
      </c>
      <c r="V216" s="225">
        <f t="shared" si="9"/>
        <v>0</v>
      </c>
      <c r="W216" s="231">
        <f t="shared" si="10"/>
        <v>0</v>
      </c>
      <c r="X216" s="231"/>
    </row>
    <row r="217" spans="1:24" hidden="1" x14ac:dyDescent="0.25">
      <c r="A217" s="109" t="s">
        <v>117</v>
      </c>
      <c r="B217" s="170" t="s">
        <v>74</v>
      </c>
      <c r="C217" s="35"/>
      <c r="D217" s="36"/>
      <c r="E217" s="39"/>
      <c r="F217" s="3">
        <f>D217*E217</f>
        <v>0</v>
      </c>
      <c r="G217" s="53">
        <f>F217*C4</f>
        <v>0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 t="shared" si="6"/>
        <v>0</v>
      </c>
      <c r="T217" s="231">
        <f t="shared" si="7"/>
        <v>0</v>
      </c>
      <c r="U217" s="225">
        <f t="shared" si="8"/>
        <v>0</v>
      </c>
      <c r="V217" s="225">
        <f t="shared" si="9"/>
        <v>0</v>
      </c>
      <c r="W217" s="231">
        <f t="shared" si="10"/>
        <v>0</v>
      </c>
      <c r="X217" s="231"/>
    </row>
    <row r="218" spans="1:24" hidden="1" x14ac:dyDescent="0.25">
      <c r="A218" s="109" t="s">
        <v>118</v>
      </c>
      <c r="B218" s="170" t="s">
        <v>75</v>
      </c>
      <c r="C218" s="35"/>
      <c r="D218" s="36"/>
      <c r="E218" s="39"/>
      <c r="F218" s="3">
        <f>D218*E218</f>
        <v>0</v>
      </c>
      <c r="G218" s="53">
        <f>F218*C4</f>
        <v>0</v>
      </c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62"/>
      <c r="S218" s="225">
        <f>R218-F218</f>
        <v>0</v>
      </c>
      <c r="T218" s="231">
        <f>IF(F218=0,0,S218/F218)</f>
        <v>0</v>
      </c>
      <c r="U218" s="225">
        <f>R218*$C$4</f>
        <v>0</v>
      </c>
      <c r="V218" s="225">
        <f>U218-G218</f>
        <v>0</v>
      </c>
      <c r="W218" s="231">
        <f>IF(G218=0,0,V218/G218)</f>
        <v>0</v>
      </c>
      <c r="X218" s="231"/>
    </row>
    <row r="219" spans="1:24" hidden="1" x14ac:dyDescent="0.25">
      <c r="A219" s="99"/>
      <c r="B219" s="170"/>
      <c r="C219" s="40"/>
      <c r="D219" s="41"/>
      <c r="E219" s="42"/>
      <c r="F219" s="3"/>
      <c r="G219" s="53"/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56"/>
      <c r="S219" s="225"/>
      <c r="T219" s="231"/>
      <c r="U219" s="225"/>
      <c r="V219" s="225"/>
      <c r="W219" s="231"/>
      <c r="X219" s="231"/>
    </row>
    <row r="220" spans="1:24" ht="13.8" hidden="1" thickBot="1" x14ac:dyDescent="0.3">
      <c r="A220" s="99"/>
      <c r="B220" s="146" t="s">
        <v>76</v>
      </c>
      <c r="C220" s="172"/>
      <c r="D220" s="171"/>
      <c r="E220" s="173"/>
      <c r="F220" s="50">
        <f>SUM(F215:F218)</f>
        <v>0</v>
      </c>
      <c r="G220" s="50">
        <f>SUM(G215:G218)</f>
        <v>0</v>
      </c>
      <c r="H220" s="244"/>
      <c r="I220" s="244"/>
      <c r="J220" s="244"/>
      <c r="K220" s="244"/>
      <c r="L220" s="244"/>
      <c r="M220" s="244"/>
      <c r="N220" s="244"/>
      <c r="O220" s="244"/>
      <c r="P220" s="244"/>
      <c r="Q220" s="253"/>
      <c r="R220" s="263"/>
      <c r="S220" s="237">
        <f>R220-F220</f>
        <v>0</v>
      </c>
      <c r="T220" s="238">
        <f>IF(F220=0,0,S220/F220)</f>
        <v>0</v>
      </c>
      <c r="U220" s="237">
        <f>R220*$C$4</f>
        <v>0</v>
      </c>
      <c r="V220" s="237">
        <f>U220-G220</f>
        <v>0</v>
      </c>
      <c r="W220" s="238">
        <f>IF(G220=0,0,V220/G220)</f>
        <v>0</v>
      </c>
      <c r="X220" s="238"/>
    </row>
    <row r="221" spans="1:24" ht="13.8" hidden="1" thickTop="1" x14ac:dyDescent="0.25">
      <c r="B221" s="174"/>
      <c r="F221" s="175"/>
      <c r="H221" s="242"/>
      <c r="I221" s="242"/>
      <c r="J221" s="242"/>
      <c r="K221" s="242"/>
      <c r="L221" s="242"/>
      <c r="M221" s="242"/>
      <c r="N221" s="242"/>
      <c r="O221" s="242"/>
      <c r="P221" s="242"/>
      <c r="Q221" s="251"/>
      <c r="R221" s="257"/>
      <c r="S221" s="225"/>
      <c r="T221" s="231"/>
      <c r="U221" s="225"/>
      <c r="V221" s="225"/>
      <c r="W221" s="231"/>
      <c r="X221" s="231"/>
    </row>
    <row r="222" spans="1:24" x14ac:dyDescent="0.25">
      <c r="A222" s="99" t="s">
        <v>119</v>
      </c>
      <c r="B222" s="99" t="s">
        <v>193</v>
      </c>
      <c r="C222" s="2"/>
      <c r="D222" s="142"/>
      <c r="E222" s="143"/>
      <c r="F222" s="3"/>
      <c r="G222" s="53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6"/>
      <c r="S222" s="225"/>
      <c r="T222" s="231"/>
      <c r="U222" s="225"/>
      <c r="V222" s="225"/>
      <c r="W222" s="231"/>
      <c r="X222" s="231"/>
    </row>
    <row r="223" spans="1:24" x14ac:dyDescent="0.25">
      <c r="A223" s="109" t="s">
        <v>120</v>
      </c>
      <c r="B223" s="170" t="s">
        <v>786</v>
      </c>
      <c r="C223" s="21" t="s">
        <v>575</v>
      </c>
      <c r="D223" s="18">
        <v>2</v>
      </c>
      <c r="E223" s="21">
        <v>1000</v>
      </c>
      <c r="F223" s="3">
        <f>D223*E223</f>
        <v>2000</v>
      </c>
      <c r="G223" s="53">
        <f>F223*C4</f>
        <v>2820</v>
      </c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62"/>
      <c r="S223" s="225">
        <f>R223-F223</f>
        <v>-2000</v>
      </c>
      <c r="T223" s="231">
        <f>IF(F223=0,0,S223/F223)</f>
        <v>-1</v>
      </c>
      <c r="U223" s="225">
        <f>R223*$C$4</f>
        <v>0</v>
      </c>
      <c r="V223" s="225">
        <f>U223-G223</f>
        <v>-2820</v>
      </c>
      <c r="W223" s="231">
        <f>IF(G223=0,0,V223/G223)</f>
        <v>-1</v>
      </c>
      <c r="X223" s="231"/>
    </row>
    <row r="224" spans="1:24" hidden="1" x14ac:dyDescent="0.25">
      <c r="A224" s="109" t="s">
        <v>121</v>
      </c>
      <c r="B224" s="170" t="s">
        <v>130</v>
      </c>
      <c r="C224" s="21"/>
      <c r="D224" s="21"/>
      <c r="E224" s="21"/>
      <c r="F224" s="3">
        <f>D224*E224</f>
        <v>0</v>
      </c>
      <c r="G224" s="53">
        <f>F224*C4</f>
        <v>0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>R224-F224</f>
        <v>0</v>
      </c>
      <c r="T224" s="231">
        <f>IF(F224=0,0,S224/F224)</f>
        <v>0</v>
      </c>
      <c r="U224" s="225">
        <f>R224*$C$4</f>
        <v>0</v>
      </c>
      <c r="V224" s="225">
        <f>U224-G224</f>
        <v>0</v>
      </c>
      <c r="W224" s="231">
        <f>IF(G224=0,0,V224/G224)</f>
        <v>0</v>
      </c>
      <c r="X224" s="231"/>
    </row>
    <row r="225" spans="1:24" x14ac:dyDescent="0.25">
      <c r="A225" s="109" t="s">
        <v>122</v>
      </c>
      <c r="B225" s="170" t="s">
        <v>128</v>
      </c>
      <c r="C225" s="21" t="s">
        <v>373</v>
      </c>
      <c r="D225" s="18">
        <v>12</v>
      </c>
      <c r="E225" s="21">
        <v>70</v>
      </c>
      <c r="F225" s="3">
        <f>D225*E225*0.3</f>
        <v>252</v>
      </c>
      <c r="G225" s="53">
        <f>F225*C4</f>
        <v>355.32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>R225-F225</f>
        <v>-252</v>
      </c>
      <c r="T225" s="231">
        <f>IF(F225=0,0,S225/F225)</f>
        <v>-1</v>
      </c>
      <c r="U225" s="225">
        <f>R225*$C$4</f>
        <v>0</v>
      </c>
      <c r="V225" s="225">
        <f>U225-G225</f>
        <v>-355.32</v>
      </c>
      <c r="W225" s="231">
        <f>IF(G225=0,0,V225/G225)</f>
        <v>-1</v>
      </c>
      <c r="X225" s="231"/>
    </row>
    <row r="226" spans="1:24" ht="26.4" x14ac:dyDescent="0.25">
      <c r="A226" s="109" t="s">
        <v>123</v>
      </c>
      <c r="B226" s="170" t="s">
        <v>787</v>
      </c>
      <c r="C226" s="21" t="s">
        <v>436</v>
      </c>
      <c r="D226" s="18">
        <v>1</v>
      </c>
      <c r="E226" s="21">
        <v>1000</v>
      </c>
      <c r="F226" s="3">
        <f>D226*E226</f>
        <v>1000</v>
      </c>
      <c r="G226" s="53">
        <f>F226*C4</f>
        <v>1410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>R226-F226</f>
        <v>-1000</v>
      </c>
      <c r="T226" s="231">
        <f>IF(F226=0,0,S226/F226)</f>
        <v>-1</v>
      </c>
      <c r="U226" s="225">
        <f>R226*$C$4</f>
        <v>0</v>
      </c>
      <c r="V226" s="225">
        <f>U226-G226</f>
        <v>-1410</v>
      </c>
      <c r="W226" s="231">
        <f>IF(G226=0,0,V226/G226)</f>
        <v>-1</v>
      </c>
      <c r="X226" s="231"/>
    </row>
    <row r="227" spans="1:24" ht="26.4" x14ac:dyDescent="0.25">
      <c r="A227" s="109" t="s">
        <v>785</v>
      </c>
      <c r="B227" s="170" t="s">
        <v>784</v>
      </c>
      <c r="C227" s="21" t="s">
        <v>436</v>
      </c>
      <c r="D227" s="18">
        <v>1</v>
      </c>
      <c r="E227" s="21">
        <v>7000</v>
      </c>
      <c r="F227" s="3">
        <f>D227*E227</f>
        <v>7000</v>
      </c>
      <c r="G227" s="53">
        <f>F227*$C$4</f>
        <v>9870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/>
      <c r="T227" s="231"/>
      <c r="U227" s="225"/>
      <c r="V227" s="225"/>
      <c r="W227" s="231"/>
      <c r="X227" s="231"/>
    </row>
    <row r="228" spans="1:24" x14ac:dyDescent="0.25">
      <c r="A228" s="99"/>
      <c r="B228" s="170"/>
      <c r="C228" s="40"/>
      <c r="D228" s="41"/>
      <c r="E228" s="42"/>
      <c r="F228" s="3"/>
      <c r="G228" s="53"/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56"/>
      <c r="S228" s="225"/>
      <c r="T228" s="231"/>
      <c r="U228" s="225"/>
      <c r="V228" s="225"/>
      <c r="W228" s="231"/>
      <c r="X228" s="231"/>
    </row>
    <row r="229" spans="1:24" ht="13.8" thickBot="1" x14ac:dyDescent="0.3">
      <c r="A229" s="99"/>
      <c r="B229" s="146" t="s">
        <v>194</v>
      </c>
      <c r="C229" s="172"/>
      <c r="D229" s="171"/>
      <c r="E229" s="173"/>
      <c r="F229" s="50">
        <f>SUM(F223:F227)</f>
        <v>10252</v>
      </c>
      <c r="G229" s="50">
        <f>SUM(G223:G227)</f>
        <v>14455.32</v>
      </c>
      <c r="H229" s="244"/>
      <c r="I229" s="244"/>
      <c r="J229" s="244"/>
      <c r="K229" s="244"/>
      <c r="L229" s="244"/>
      <c r="M229" s="244"/>
      <c r="N229" s="244"/>
      <c r="O229" s="244"/>
      <c r="P229" s="244"/>
      <c r="Q229" s="253"/>
      <c r="R229" s="263"/>
      <c r="S229" s="237">
        <f>R229-F229</f>
        <v>-10252</v>
      </c>
      <c r="T229" s="238">
        <f>IF(F229=0,0,S229/F229)</f>
        <v>-1</v>
      </c>
      <c r="U229" s="237">
        <f>R229*$C$4</f>
        <v>0</v>
      </c>
      <c r="V229" s="237">
        <f>U229-G229</f>
        <v>-14455.32</v>
      </c>
      <c r="W229" s="238">
        <f>IF(G229=0,0,V229/G229)</f>
        <v>-1</v>
      </c>
      <c r="X229" s="238"/>
    </row>
    <row r="230" spans="1:24" ht="13.8" hidden="1" thickTop="1" x14ac:dyDescent="0.25">
      <c r="B230" s="174"/>
      <c r="F230" s="175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7"/>
      <c r="S230" s="225"/>
      <c r="T230" s="231"/>
      <c r="U230" s="225"/>
      <c r="V230" s="225"/>
      <c r="W230" s="231"/>
      <c r="X230" s="231"/>
    </row>
    <row r="231" spans="1:24" hidden="1" x14ac:dyDescent="0.25">
      <c r="A231" s="99" t="s">
        <v>157</v>
      </c>
      <c r="B231" s="99" t="s">
        <v>156</v>
      </c>
      <c r="C231" s="2"/>
      <c r="D231" s="142"/>
      <c r="E231" s="143"/>
      <c r="F231" s="3"/>
      <c r="G231" s="53"/>
      <c r="H231" s="242"/>
      <c r="I231" s="242"/>
      <c r="J231" s="242"/>
      <c r="K231" s="242"/>
      <c r="L231" s="242"/>
      <c r="M231" s="242"/>
      <c r="N231" s="242"/>
      <c r="O231" s="242"/>
      <c r="P231" s="242"/>
      <c r="Q231" s="251"/>
      <c r="R231" s="256"/>
      <c r="S231" s="225"/>
      <c r="T231" s="231"/>
      <c r="U231" s="225"/>
      <c r="V231" s="225"/>
      <c r="W231" s="231"/>
      <c r="X231" s="231"/>
    </row>
    <row r="232" spans="1:24" hidden="1" x14ac:dyDescent="0.25">
      <c r="A232" s="109" t="s">
        <v>162</v>
      </c>
      <c r="B232" s="170" t="s">
        <v>294</v>
      </c>
      <c r="C232" s="35"/>
      <c r="D232" s="36"/>
      <c r="E232" s="39"/>
      <c r="F232" s="3">
        <f>D232*E232</f>
        <v>0</v>
      </c>
      <c r="G232" s="53">
        <f>F232*C4</f>
        <v>0</v>
      </c>
      <c r="H232" s="242"/>
      <c r="I232" s="242"/>
      <c r="J232" s="242"/>
      <c r="K232" s="242"/>
      <c r="L232" s="242"/>
      <c r="M232" s="242"/>
      <c r="N232" s="242"/>
      <c r="O232" s="242"/>
      <c r="P232" s="242"/>
      <c r="Q232" s="251"/>
      <c r="R232" s="262"/>
      <c r="S232" s="225">
        <f>R232-F232</f>
        <v>0</v>
      </c>
      <c r="T232" s="231">
        <f>IF(F232=0,0,S232/F232)</f>
        <v>0</v>
      </c>
      <c r="U232" s="225">
        <f>R232*$C$4</f>
        <v>0</v>
      </c>
      <c r="V232" s="225">
        <f>U232-G232</f>
        <v>0</v>
      </c>
      <c r="W232" s="231">
        <f>IF(G232=0,0,V232/G232)</f>
        <v>0</v>
      </c>
      <c r="X232" s="231"/>
    </row>
    <row r="233" spans="1:24" hidden="1" x14ac:dyDescent="0.25">
      <c r="A233" s="109" t="s">
        <v>163</v>
      </c>
      <c r="B233" s="170" t="s">
        <v>159</v>
      </c>
      <c r="C233" s="35"/>
      <c r="D233" s="36"/>
      <c r="E233" s="39"/>
      <c r="F233" s="3">
        <f>D233*E233</f>
        <v>0</v>
      </c>
      <c r="G233" s="53">
        <f>F233*C4</f>
        <v>0</v>
      </c>
      <c r="H233" s="242"/>
      <c r="I233" s="242"/>
      <c r="J233" s="242"/>
      <c r="K233" s="242"/>
      <c r="L233" s="242"/>
      <c r="M233" s="242"/>
      <c r="N233" s="242"/>
      <c r="O233" s="242"/>
      <c r="P233" s="242"/>
      <c r="Q233" s="251"/>
      <c r="R233" s="262"/>
      <c r="S233" s="225">
        <f>R233-F233</f>
        <v>0</v>
      </c>
      <c r="T233" s="231">
        <f>IF(F233=0,0,S233/F233)</f>
        <v>0</v>
      </c>
      <c r="U233" s="225">
        <f>R233*$C$4</f>
        <v>0</v>
      </c>
      <c r="V233" s="225">
        <f>U233-G233</f>
        <v>0</v>
      </c>
      <c r="W233" s="231">
        <f>IF(G233=0,0,V233/G233)</f>
        <v>0</v>
      </c>
      <c r="X233" s="231"/>
    </row>
    <row r="234" spans="1:24" hidden="1" x14ac:dyDescent="0.25">
      <c r="A234" s="109" t="s">
        <v>164</v>
      </c>
      <c r="B234" s="170" t="s">
        <v>160</v>
      </c>
      <c r="C234" s="35"/>
      <c r="D234" s="36"/>
      <c r="E234" s="39"/>
      <c r="F234" s="3">
        <f>D234*E234</f>
        <v>0</v>
      </c>
      <c r="G234" s="53">
        <f>F234*C4</f>
        <v>0</v>
      </c>
      <c r="H234" s="242"/>
      <c r="I234" s="242"/>
      <c r="J234" s="242"/>
      <c r="K234" s="242"/>
      <c r="L234" s="242"/>
      <c r="M234" s="242"/>
      <c r="N234" s="242"/>
      <c r="O234" s="242"/>
      <c r="P234" s="242"/>
      <c r="Q234" s="251"/>
      <c r="R234" s="262"/>
      <c r="S234" s="225">
        <f>R234-F234</f>
        <v>0</v>
      </c>
      <c r="T234" s="231">
        <f>IF(F234=0,0,S234/F234)</f>
        <v>0</v>
      </c>
      <c r="U234" s="225">
        <f>R234*$C$4</f>
        <v>0</v>
      </c>
      <c r="V234" s="225">
        <f>U234-G234</f>
        <v>0</v>
      </c>
      <c r="W234" s="231">
        <f>IF(G234=0,0,V234/G234)</f>
        <v>0</v>
      </c>
      <c r="X234" s="231"/>
    </row>
    <row r="235" spans="1:24" hidden="1" x14ac:dyDescent="0.25">
      <c r="A235" s="99"/>
      <c r="B235" s="170"/>
      <c r="C235" s="40"/>
      <c r="D235" s="41"/>
      <c r="E235" s="42"/>
      <c r="F235" s="3"/>
      <c r="G235" s="53"/>
      <c r="H235" s="242"/>
      <c r="I235" s="242"/>
      <c r="J235" s="242"/>
      <c r="K235" s="242"/>
      <c r="L235" s="242"/>
      <c r="M235" s="242"/>
      <c r="N235" s="242"/>
      <c r="O235" s="242"/>
      <c r="P235" s="242"/>
      <c r="Q235" s="251"/>
      <c r="R235" s="256"/>
      <c r="S235" s="237"/>
      <c r="T235" s="238"/>
      <c r="U235" s="237"/>
      <c r="V235" s="237"/>
      <c r="W235" s="238"/>
      <c r="X235" s="238"/>
    </row>
    <row r="236" spans="1:24" ht="13.8" hidden="1" thickBot="1" x14ac:dyDescent="0.3">
      <c r="A236" s="99"/>
      <c r="B236" s="146" t="s">
        <v>161</v>
      </c>
      <c r="C236" s="172"/>
      <c r="D236" s="171"/>
      <c r="E236" s="173"/>
      <c r="F236" s="50">
        <f>SUM(F232:F234)</f>
        <v>0</v>
      </c>
      <c r="G236" s="50">
        <f>SUM(G232:G234)</f>
        <v>0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37">
        <f>R236-F236</f>
        <v>0</v>
      </c>
      <c r="T236" s="238">
        <f>IF(F236=0,0,S236/F236)</f>
        <v>0</v>
      </c>
      <c r="U236" s="237">
        <f>R236*$C$4</f>
        <v>0</v>
      </c>
      <c r="V236" s="237">
        <f>U236-G236</f>
        <v>0</v>
      </c>
      <c r="W236" s="238">
        <f>IF(G236=0,0,V236/G236)</f>
        <v>0</v>
      </c>
      <c r="X236" s="238"/>
    </row>
    <row r="237" spans="1:24" ht="13.8" thickTop="1" x14ac:dyDescent="0.25">
      <c r="A237" s="99"/>
      <c r="B237" s="146"/>
      <c r="C237" s="172"/>
      <c r="D237" s="171"/>
      <c r="E237" s="173"/>
      <c r="F237" s="169"/>
      <c r="G237" s="169"/>
      <c r="H237" s="244"/>
      <c r="I237" s="244"/>
      <c r="J237" s="244"/>
      <c r="K237" s="244"/>
      <c r="L237" s="244"/>
      <c r="M237" s="244"/>
      <c r="N237" s="244"/>
      <c r="O237" s="244"/>
      <c r="P237" s="244"/>
      <c r="Q237" s="253"/>
      <c r="R237" s="263"/>
      <c r="S237" s="237"/>
      <c r="T237" s="238"/>
      <c r="U237" s="237"/>
      <c r="V237" s="237"/>
      <c r="W237" s="238"/>
      <c r="X237" s="238"/>
    </row>
    <row r="238" spans="1:24" x14ac:dyDescent="0.25">
      <c r="A238" s="99" t="s">
        <v>310</v>
      </c>
      <c r="B238" s="146" t="s">
        <v>313</v>
      </c>
      <c r="C238" s="172"/>
      <c r="D238" s="171"/>
      <c r="E238" s="173"/>
      <c r="F238" s="169"/>
      <c r="G238" s="169"/>
      <c r="H238" s="244"/>
      <c r="I238" s="244"/>
      <c r="J238" s="244"/>
      <c r="K238" s="244"/>
      <c r="L238" s="244"/>
      <c r="M238" s="244"/>
      <c r="N238" s="244"/>
      <c r="O238" s="244"/>
      <c r="P238" s="244"/>
      <c r="Q238" s="253"/>
      <c r="R238" s="263"/>
      <c r="S238" s="237"/>
      <c r="T238" s="238"/>
      <c r="U238" s="237"/>
      <c r="V238" s="237"/>
      <c r="W238" s="238"/>
      <c r="X238" s="238"/>
    </row>
    <row r="239" spans="1:24" x14ac:dyDescent="0.25">
      <c r="A239" s="109" t="s">
        <v>315</v>
      </c>
      <c r="B239" s="157" t="s">
        <v>314</v>
      </c>
      <c r="C239" s="172"/>
      <c r="D239" s="171"/>
      <c r="E239" s="173">
        <f ca="1">F270/1.03*3%</f>
        <v>18591.251804399999</v>
      </c>
      <c r="F239" s="169">
        <f ca="1">E239</f>
        <v>18591.251804399999</v>
      </c>
      <c r="G239" s="169">
        <f ca="1">F239*C4</f>
        <v>26213.665044203997</v>
      </c>
      <c r="H239" s="244"/>
      <c r="I239" s="244"/>
      <c r="J239" s="244"/>
      <c r="K239" s="244"/>
      <c r="L239" s="244"/>
      <c r="M239" s="244"/>
      <c r="N239" s="244"/>
      <c r="O239" s="244"/>
      <c r="P239" s="244"/>
      <c r="Q239" s="253"/>
      <c r="R239" s="263" t="e">
        <f>#REF!/1.03*3%</f>
        <v>#REF!</v>
      </c>
      <c r="S239" s="237"/>
      <c r="T239" s="238"/>
      <c r="U239" s="237" t="e">
        <f>R239*C4</f>
        <v>#REF!</v>
      </c>
      <c r="V239" s="237"/>
      <c r="W239" s="238"/>
      <c r="X239" s="238"/>
    </row>
    <row r="240" spans="1:24" x14ac:dyDescent="0.25">
      <c r="A240" s="109"/>
      <c r="B240" s="157"/>
      <c r="C240" s="172"/>
      <c r="D240" s="171"/>
      <c r="E240" s="173"/>
      <c r="F240" s="169"/>
      <c r="G240" s="169"/>
      <c r="H240" s="244"/>
      <c r="I240" s="244"/>
      <c r="J240" s="244"/>
      <c r="K240" s="244"/>
      <c r="L240" s="244"/>
      <c r="M240" s="244"/>
      <c r="N240" s="244"/>
      <c r="O240" s="244"/>
      <c r="P240" s="244"/>
      <c r="Q240" s="253"/>
      <c r="R240" s="263"/>
      <c r="S240" s="237"/>
      <c r="T240" s="238"/>
      <c r="U240" s="237"/>
      <c r="V240" s="237"/>
      <c r="W240" s="238"/>
      <c r="X240" s="238"/>
    </row>
    <row r="241" spans="1:24" ht="13.8" thickBot="1" x14ac:dyDescent="0.3">
      <c r="A241" s="99"/>
      <c r="B241" s="146" t="s">
        <v>316</v>
      </c>
      <c r="C241" s="172"/>
      <c r="D241" s="171"/>
      <c r="E241" s="173"/>
      <c r="F241" s="50">
        <f ca="1">F239</f>
        <v>18591.251804399999</v>
      </c>
      <c r="G241" s="50">
        <f ca="1">G239</f>
        <v>26213.665044203997</v>
      </c>
      <c r="H241" s="267"/>
      <c r="I241" s="244"/>
      <c r="J241" s="244"/>
      <c r="K241" s="244"/>
      <c r="L241" s="244"/>
      <c r="M241" s="244"/>
      <c r="N241" s="244"/>
      <c r="O241" s="244"/>
      <c r="P241" s="244"/>
      <c r="Q241" s="253"/>
      <c r="R241" s="263"/>
      <c r="S241" s="237"/>
      <c r="T241" s="238"/>
      <c r="U241" s="237"/>
      <c r="V241" s="237"/>
      <c r="W241" s="238"/>
      <c r="X241" s="238"/>
    </row>
    <row r="242" spans="1:24" ht="13.8" thickTop="1" x14ac:dyDescent="0.25">
      <c r="A242" s="99"/>
      <c r="B242" s="146"/>
      <c r="C242" s="118"/>
      <c r="D242" s="122"/>
      <c r="E242" s="123"/>
      <c r="F242" s="169"/>
      <c r="G242" s="169"/>
      <c r="H242" s="244"/>
      <c r="I242" s="244"/>
      <c r="J242" s="244"/>
      <c r="K242" s="244"/>
      <c r="L242" s="244"/>
      <c r="M242" s="244"/>
      <c r="N242" s="244"/>
      <c r="O242" s="244"/>
      <c r="P242" s="244"/>
      <c r="Q242" s="253"/>
      <c r="R242" s="259"/>
      <c r="S242" s="225"/>
      <c r="T242" s="231"/>
      <c r="U242" s="225"/>
      <c r="V242" s="225"/>
      <c r="W242" s="231"/>
      <c r="X242" s="231"/>
    </row>
    <row r="243" spans="1:24" x14ac:dyDescent="0.25">
      <c r="A243" s="99"/>
      <c r="B243" s="146"/>
      <c r="C243" s="118"/>
      <c r="D243" s="122"/>
      <c r="E243" s="123"/>
      <c r="F243" s="169"/>
      <c r="G243" s="169"/>
      <c r="H243" s="244"/>
      <c r="I243" s="244"/>
      <c r="J243" s="244"/>
      <c r="K243" s="244"/>
      <c r="L243" s="244"/>
      <c r="M243" s="244"/>
      <c r="N243" s="244"/>
      <c r="O243" s="244"/>
      <c r="P243" s="244"/>
      <c r="Q243" s="253"/>
      <c r="R243" s="259"/>
      <c r="S243" s="225"/>
      <c r="T243" s="231"/>
      <c r="U243" s="225"/>
      <c r="V243" s="225"/>
      <c r="W243" s="231"/>
      <c r="X243" s="231"/>
    </row>
    <row r="244" spans="1:24" ht="13.8" thickBot="1" x14ac:dyDescent="0.3">
      <c r="A244" s="176"/>
      <c r="B244" s="177" t="s">
        <v>49</v>
      </c>
      <c r="C244" s="179"/>
      <c r="D244" s="178"/>
      <c r="E244" s="180"/>
      <c r="F244" s="54">
        <f ca="1">SUM(F103+F170+F183+F202+F211+F220+F229+F236+F241)</f>
        <v>578118.31580440002</v>
      </c>
      <c r="G244" s="54">
        <f ca="1">F244*C4</f>
        <v>815146.82528420398</v>
      </c>
      <c r="H244" s="244"/>
      <c r="I244" s="244"/>
      <c r="J244" s="244"/>
      <c r="K244" s="244"/>
      <c r="L244" s="244"/>
      <c r="M244" s="244"/>
      <c r="N244" s="244"/>
      <c r="O244" s="244"/>
      <c r="P244" s="244"/>
      <c r="Q244" s="253"/>
      <c r="R244" s="263"/>
      <c r="S244" s="226">
        <f ca="1">R244-F244</f>
        <v>-578118.31580440002</v>
      </c>
      <c r="T244" s="236">
        <f ca="1">IF(F244=0,0,S244/F244)</f>
        <v>-1</v>
      </c>
      <c r="U244" s="226">
        <f>R244*$C$4</f>
        <v>0</v>
      </c>
      <c r="V244" s="226">
        <f ca="1">U244-G244</f>
        <v>-815146.82528420398</v>
      </c>
      <c r="W244" s="236">
        <f ca="1">IF(G244=0,0,V244/G244)</f>
        <v>-1</v>
      </c>
      <c r="X244" s="236"/>
    </row>
    <row r="245" spans="1:24" ht="13.8" thickTop="1" x14ac:dyDescent="0.25">
      <c r="B245" s="87"/>
      <c r="F245" s="48"/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57"/>
      <c r="S245" s="225"/>
      <c r="T245" s="231"/>
      <c r="U245" s="225"/>
      <c r="V245" s="225"/>
      <c r="W245" s="231"/>
      <c r="X245" s="231"/>
    </row>
    <row r="246" spans="1:24" x14ac:dyDescent="0.25">
      <c r="A246" s="70" t="s">
        <v>57</v>
      </c>
      <c r="F246" s="48"/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57"/>
      <c r="S246" s="225"/>
      <c r="T246" s="231"/>
      <c r="U246" s="225"/>
      <c r="V246" s="225"/>
      <c r="W246" s="231"/>
      <c r="X246" s="231"/>
    </row>
    <row r="247" spans="1:24" x14ac:dyDescent="0.25">
      <c r="A247" s="70" t="s">
        <v>18</v>
      </c>
      <c r="B247" s="181" t="s">
        <v>9</v>
      </c>
      <c r="F247" s="48"/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57"/>
      <c r="S247" s="225"/>
      <c r="T247" s="231"/>
      <c r="U247" s="225"/>
      <c r="V247" s="225"/>
      <c r="W247" s="231"/>
      <c r="X247" s="231"/>
    </row>
    <row r="248" spans="1:24" x14ac:dyDescent="0.25">
      <c r="B248" s="149" t="s">
        <v>775</v>
      </c>
      <c r="C248" s="21" t="s">
        <v>322</v>
      </c>
      <c r="D248" s="25">
        <v>12</v>
      </c>
      <c r="E248" s="18">
        <v>5677.6431599999996</v>
      </c>
      <c r="F248" s="48">
        <f>D248*E248*0.25</f>
        <v>17032.929479999999</v>
      </c>
      <c r="G248" s="295">
        <f>F248*C4</f>
        <v>24016.430566799998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>
        <f>R248-F248</f>
        <v>-17032.929479999999</v>
      </c>
      <c r="T248" s="231">
        <f>IF(F248=0,0,S248/F248)</f>
        <v>-1</v>
      </c>
      <c r="U248" s="225">
        <f>R248*$C$4</f>
        <v>0</v>
      </c>
      <c r="V248" s="225">
        <f>U248-G248</f>
        <v>-24016.430566799998</v>
      </c>
      <c r="W248" s="231">
        <f>IF(G248=0,0,V248/G248)</f>
        <v>-1</v>
      </c>
      <c r="X248" s="231"/>
    </row>
    <row r="249" spans="1:24" x14ac:dyDescent="0.25">
      <c r="B249" s="149" t="s">
        <v>576</v>
      </c>
      <c r="C249" s="21" t="s">
        <v>322</v>
      </c>
      <c r="D249" s="25">
        <v>12</v>
      </c>
      <c r="E249" s="18">
        <v>2593</v>
      </c>
      <c r="F249" s="48">
        <f>D249*E249*0.3</f>
        <v>9334.7999999999993</v>
      </c>
      <c r="G249" s="295">
        <f>F249*$C$4</f>
        <v>13162.067999999997</v>
      </c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62"/>
      <c r="S249" s="225">
        <f>R249-F249</f>
        <v>-9334.7999999999993</v>
      </c>
      <c r="T249" s="231">
        <f>IF(F249=0,0,S249/F249)</f>
        <v>-1</v>
      </c>
      <c r="U249" s="225">
        <f>R249*$C$4</f>
        <v>0</v>
      </c>
      <c r="V249" s="225">
        <f>U249-G249</f>
        <v>-13162.067999999997</v>
      </c>
      <c r="W249" s="231">
        <f>IF(G249=0,0,V249/G249)</f>
        <v>-1</v>
      </c>
      <c r="X249" s="231"/>
    </row>
    <row r="250" spans="1:24" x14ac:dyDescent="0.25">
      <c r="B250" s="149" t="s">
        <v>577</v>
      </c>
      <c r="C250" s="21" t="s">
        <v>322</v>
      </c>
      <c r="D250" s="25">
        <v>12</v>
      </c>
      <c r="E250" s="18">
        <v>1301</v>
      </c>
      <c r="F250" s="48">
        <f>D250*E250*0.3</f>
        <v>4683.5999999999995</v>
      </c>
      <c r="G250" s="295">
        <f>F250*$C$4</f>
        <v>6603.8759999999993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/>
      <c r="T250" s="231"/>
      <c r="U250" s="225"/>
      <c r="V250" s="225"/>
      <c r="W250" s="231"/>
      <c r="X250" s="231"/>
    </row>
    <row r="251" spans="1:24" x14ac:dyDescent="0.25">
      <c r="B251" s="149" t="s">
        <v>578</v>
      </c>
      <c r="C251" s="21" t="s">
        <v>322</v>
      </c>
      <c r="D251" s="25">
        <v>12</v>
      </c>
      <c r="E251" s="18">
        <v>600</v>
      </c>
      <c r="F251" s="48">
        <f>D251*E251*0.3</f>
        <v>2160</v>
      </c>
      <c r="G251" s="295">
        <f>F251*$C$4</f>
        <v>3045.6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/>
      <c r="T251" s="231"/>
      <c r="U251" s="225"/>
      <c r="V251" s="225"/>
      <c r="W251" s="231"/>
      <c r="X251" s="231"/>
    </row>
    <row r="252" spans="1:24" x14ac:dyDescent="0.25">
      <c r="B252" s="149" t="s">
        <v>579</v>
      </c>
      <c r="C252" s="21" t="s">
        <v>322</v>
      </c>
      <c r="D252" s="25">
        <v>12</v>
      </c>
      <c r="E252" s="18">
        <v>813</v>
      </c>
      <c r="F252" s="48">
        <f>D252*E252*0.3</f>
        <v>2926.7999999999997</v>
      </c>
      <c r="G252" s="295">
        <f>F252*$C$4</f>
        <v>4126.7879999999996</v>
      </c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62"/>
      <c r="S252" s="225"/>
      <c r="T252" s="231"/>
      <c r="U252" s="225"/>
      <c r="V252" s="225"/>
      <c r="W252" s="231"/>
      <c r="X252" s="231"/>
    </row>
    <row r="253" spans="1:24" x14ac:dyDescent="0.25">
      <c r="B253" s="149" t="s">
        <v>580</v>
      </c>
      <c r="C253" s="21" t="s">
        <v>436</v>
      </c>
      <c r="D253" s="25">
        <v>1</v>
      </c>
      <c r="E253" s="18">
        <v>13500</v>
      </c>
      <c r="F253" s="48">
        <f>D253*E253</f>
        <v>13500</v>
      </c>
      <c r="G253" s="295">
        <f>F253*$C$4</f>
        <v>19035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>
        <f>R253-F253</f>
        <v>-13500</v>
      </c>
      <c r="T253" s="231">
        <f>IF(F253=0,0,S253/F253)</f>
        <v>-1</v>
      </c>
      <c r="U253" s="225">
        <f>R253*$C$4</f>
        <v>0</v>
      </c>
      <c r="V253" s="225">
        <f>U253-G253</f>
        <v>-19035</v>
      </c>
      <c r="W253" s="231">
        <f>IF(G253=0,0,V253/G253)</f>
        <v>-1</v>
      </c>
      <c r="X253" s="231"/>
    </row>
    <row r="254" spans="1:24" x14ac:dyDescent="0.25">
      <c r="B254" s="182" t="s">
        <v>35</v>
      </c>
      <c r="C254" s="6"/>
      <c r="D254" s="7"/>
      <c r="E254" s="8"/>
      <c r="F254" s="48"/>
      <c r="G254" s="295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4" x14ac:dyDescent="0.25">
      <c r="B255" s="149" t="s">
        <v>581</v>
      </c>
      <c r="C255" s="21" t="s">
        <v>322</v>
      </c>
      <c r="D255" s="25">
        <v>12</v>
      </c>
      <c r="E255" s="18">
        <v>1300</v>
      </c>
      <c r="F255" s="48">
        <f t="shared" ref="F255:F260" si="12">D255*E255*0.3</f>
        <v>4680</v>
      </c>
      <c r="G255" s="295">
        <f t="shared" ref="G255:G260" si="13">F255*$C$4</f>
        <v>6598.7999999999993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>
        <f>R255-F255</f>
        <v>-4680</v>
      </c>
      <c r="T255" s="231">
        <f>IF(F255=0,0,S255/F255)</f>
        <v>-1</v>
      </c>
      <c r="U255" s="225">
        <f>R255*$C$4</f>
        <v>0</v>
      </c>
      <c r="V255" s="225">
        <f>U255-G255</f>
        <v>-6598.7999999999993</v>
      </c>
      <c r="W255" s="231">
        <f>IF(G255=0,0,V255/G255)</f>
        <v>-1</v>
      </c>
      <c r="X255" s="231"/>
    </row>
    <row r="256" spans="1:24" x14ac:dyDescent="0.25">
      <c r="B256" s="149" t="s">
        <v>582</v>
      </c>
      <c r="C256" s="21" t="s">
        <v>322</v>
      </c>
      <c r="D256" s="25">
        <v>12</v>
      </c>
      <c r="E256" s="18">
        <v>350</v>
      </c>
      <c r="F256" s="48">
        <f t="shared" si="12"/>
        <v>1260</v>
      </c>
      <c r="G256" s="295">
        <f t="shared" si="13"/>
        <v>1776.6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/>
      <c r="T256" s="231"/>
      <c r="U256" s="225"/>
      <c r="V256" s="225"/>
      <c r="W256" s="231"/>
      <c r="X256" s="231"/>
    </row>
    <row r="257" spans="1:25" x14ac:dyDescent="0.25">
      <c r="B257" s="149" t="s">
        <v>583</v>
      </c>
      <c r="C257" s="21" t="s">
        <v>322</v>
      </c>
      <c r="D257" s="25">
        <v>12</v>
      </c>
      <c r="E257" s="18">
        <v>350</v>
      </c>
      <c r="F257" s="48">
        <f t="shared" si="12"/>
        <v>1260</v>
      </c>
      <c r="G257" s="295">
        <f t="shared" si="13"/>
        <v>1776.6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62"/>
      <c r="S257" s="225">
        <f>R257-F257</f>
        <v>-1260</v>
      </c>
      <c r="T257" s="231">
        <f>IF(F257=0,0,S257/F257)</f>
        <v>-1</v>
      </c>
      <c r="U257" s="225">
        <f>R257*$C$4</f>
        <v>0</v>
      </c>
      <c r="V257" s="225">
        <f>U257-G257</f>
        <v>-1776.6</v>
      </c>
      <c r="W257" s="231">
        <f>IF(G257=0,0,V257/G257)</f>
        <v>-1</v>
      </c>
      <c r="X257" s="231"/>
    </row>
    <row r="258" spans="1:25" x14ac:dyDescent="0.25">
      <c r="B258" s="149" t="s">
        <v>584</v>
      </c>
      <c r="C258" s="21" t="s">
        <v>322</v>
      </c>
      <c r="D258" s="25">
        <v>12</v>
      </c>
      <c r="E258" s="18">
        <v>223.5</v>
      </c>
      <c r="F258" s="48">
        <f t="shared" si="12"/>
        <v>804.6</v>
      </c>
      <c r="G258" s="295">
        <f t="shared" si="13"/>
        <v>1134.4859999999999</v>
      </c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62"/>
      <c r="S258" s="225"/>
      <c r="T258" s="231"/>
      <c r="U258" s="225"/>
      <c r="V258" s="225"/>
      <c r="W258" s="231"/>
      <c r="X258" s="231"/>
    </row>
    <row r="259" spans="1:25" x14ac:dyDescent="0.25">
      <c r="B259" s="149" t="s">
        <v>585</v>
      </c>
      <c r="C259" s="21" t="s">
        <v>322</v>
      </c>
      <c r="D259" s="25">
        <v>12</v>
      </c>
      <c r="E259" s="18">
        <v>100</v>
      </c>
      <c r="F259" s="48">
        <f t="shared" si="12"/>
        <v>360</v>
      </c>
      <c r="G259" s="295">
        <f t="shared" si="13"/>
        <v>507.59999999999997</v>
      </c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62"/>
      <c r="S259" s="225"/>
      <c r="T259" s="231"/>
      <c r="U259" s="225"/>
      <c r="V259" s="225"/>
      <c r="W259" s="231"/>
      <c r="X259" s="231"/>
    </row>
    <row r="260" spans="1:25" x14ac:dyDescent="0.25">
      <c r="B260" s="149" t="s">
        <v>776</v>
      </c>
      <c r="C260" s="21" t="s">
        <v>436</v>
      </c>
      <c r="D260" s="25">
        <v>1</v>
      </c>
      <c r="E260" s="18">
        <v>500</v>
      </c>
      <c r="F260" s="48">
        <f t="shared" si="12"/>
        <v>150</v>
      </c>
      <c r="G260" s="295">
        <f t="shared" si="13"/>
        <v>211.5</v>
      </c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62"/>
      <c r="S260" s="225">
        <f>R260-F260</f>
        <v>-150</v>
      </c>
      <c r="T260" s="231">
        <f>IF(F260=0,0,S260/F260)</f>
        <v>-1</v>
      </c>
      <c r="U260" s="225">
        <f>R260*$C$4</f>
        <v>0</v>
      </c>
      <c r="V260" s="225">
        <f>U260-G260</f>
        <v>-211.5</v>
      </c>
      <c r="W260" s="231">
        <f>IF(G260=0,0,V260/G260)</f>
        <v>-1</v>
      </c>
      <c r="X260" s="231"/>
    </row>
    <row r="261" spans="1:25" x14ac:dyDescent="0.25">
      <c r="B261" s="182" t="s">
        <v>39</v>
      </c>
      <c r="C261" s="6"/>
      <c r="D261" s="7"/>
      <c r="E261" s="8"/>
      <c r="F261" s="48"/>
      <c r="G261" s="295"/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57"/>
      <c r="S261" s="225"/>
      <c r="T261" s="231"/>
      <c r="U261" s="225"/>
      <c r="V261" s="225"/>
      <c r="W261" s="231"/>
      <c r="X261" s="231"/>
    </row>
    <row r="262" spans="1:25" x14ac:dyDescent="0.25">
      <c r="B262" s="149" t="s">
        <v>589</v>
      </c>
      <c r="C262" s="21" t="s">
        <v>322</v>
      </c>
      <c r="D262" s="25">
        <v>12</v>
      </c>
      <c r="E262" s="18">
        <v>288.5</v>
      </c>
      <c r="F262" s="48">
        <f>D262*E262*0.3</f>
        <v>1038.5999999999999</v>
      </c>
      <c r="G262" s="295">
        <f>F262*C4</f>
        <v>1464.4259999999997</v>
      </c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62"/>
      <c r="S262" s="225">
        <f>R262-F262</f>
        <v>-1038.5999999999999</v>
      </c>
      <c r="T262" s="231">
        <f>IF(F262=0,0,S262/F262)</f>
        <v>-1</v>
      </c>
      <c r="U262" s="225">
        <f>R262*$C$4</f>
        <v>0</v>
      </c>
      <c r="V262" s="225">
        <f>U262-G262</f>
        <v>-1464.4259999999997</v>
      </c>
      <c r="W262" s="231">
        <f>IF(G262=0,0,V262/G262)</f>
        <v>-1</v>
      </c>
      <c r="X262" s="231"/>
    </row>
    <row r="263" spans="1:25" x14ac:dyDescent="0.25">
      <c r="B263" s="182" t="s">
        <v>41</v>
      </c>
      <c r="C263" s="5"/>
      <c r="D263" s="5"/>
      <c r="E263" s="5"/>
      <c r="F263" s="168"/>
      <c r="G263" s="295"/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57"/>
      <c r="S263" s="225"/>
      <c r="T263" s="231"/>
      <c r="U263" s="225"/>
      <c r="V263" s="225"/>
      <c r="W263" s="231"/>
      <c r="X263" s="231"/>
    </row>
    <row r="264" spans="1:25" x14ac:dyDescent="0.25">
      <c r="B264" s="149" t="s">
        <v>587</v>
      </c>
      <c r="C264" s="21" t="s">
        <v>436</v>
      </c>
      <c r="D264" s="25">
        <v>1</v>
      </c>
      <c r="E264" s="18">
        <v>500</v>
      </c>
      <c r="F264" s="168">
        <f>D264*E264*0.3</f>
        <v>150</v>
      </c>
      <c r="G264" s="295">
        <f>F264*$C$4</f>
        <v>211.5</v>
      </c>
      <c r="H264" s="242"/>
      <c r="I264" s="242"/>
      <c r="J264" s="242"/>
      <c r="K264" s="242"/>
      <c r="L264" s="242"/>
      <c r="M264" s="242"/>
      <c r="N264" s="242"/>
      <c r="O264" s="242"/>
      <c r="P264" s="242"/>
      <c r="Q264" s="251"/>
      <c r="R264" s="257"/>
      <c r="S264" s="225"/>
      <c r="T264" s="231"/>
      <c r="U264" s="225"/>
      <c r="V264" s="225"/>
      <c r="W264" s="231"/>
      <c r="X264" s="231"/>
    </row>
    <row r="265" spans="1:25" x14ac:dyDescent="0.25">
      <c r="B265" s="149" t="s">
        <v>588</v>
      </c>
      <c r="C265" s="21" t="s">
        <v>322</v>
      </c>
      <c r="D265" s="25">
        <v>12</v>
      </c>
      <c r="E265" s="18">
        <v>70</v>
      </c>
      <c r="F265" s="48">
        <f>D265*E265</f>
        <v>840</v>
      </c>
      <c r="G265" s="295">
        <f>F265*C4</f>
        <v>1184.3999999999999</v>
      </c>
      <c r="H265" s="242"/>
      <c r="I265" s="242"/>
      <c r="J265" s="242"/>
      <c r="K265" s="242"/>
      <c r="L265" s="242"/>
      <c r="M265" s="242"/>
      <c r="N265" s="242"/>
      <c r="O265" s="242"/>
      <c r="P265" s="242"/>
      <c r="Q265" s="251"/>
      <c r="R265" s="262"/>
      <c r="S265" s="225">
        <f>R265-F265</f>
        <v>-840</v>
      </c>
      <c r="T265" s="231">
        <f>IF(F265=0,0,S265/F265)</f>
        <v>-1</v>
      </c>
      <c r="U265" s="225">
        <f>R265*$C$4</f>
        <v>0</v>
      </c>
      <c r="V265" s="225">
        <f>U265-G265</f>
        <v>-1184.3999999999999</v>
      </c>
      <c r="W265" s="231">
        <f>IF(G265=0,0,V265/G265)</f>
        <v>-1</v>
      </c>
      <c r="X265" s="231"/>
    </row>
    <row r="266" spans="1:25" x14ac:dyDescent="0.25">
      <c r="B266" s="149"/>
      <c r="C266" s="6"/>
      <c r="D266" s="7"/>
      <c r="E266" s="8"/>
      <c r="F266" s="48"/>
      <c r="H266" s="242"/>
      <c r="I266" s="242"/>
      <c r="J266" s="242"/>
      <c r="K266" s="242"/>
      <c r="L266" s="242"/>
      <c r="M266" s="242"/>
      <c r="N266" s="242"/>
      <c r="O266" s="242"/>
      <c r="P266" s="242"/>
      <c r="Q266" s="251"/>
      <c r="R266" s="257"/>
      <c r="S266" s="225"/>
      <c r="T266" s="231"/>
      <c r="U266" s="225"/>
      <c r="V266" s="225"/>
      <c r="W266" s="231"/>
      <c r="X266" s="231"/>
    </row>
    <row r="267" spans="1:25" x14ac:dyDescent="0.25">
      <c r="A267" s="177"/>
      <c r="B267" s="177" t="s">
        <v>58</v>
      </c>
      <c r="C267" s="179"/>
      <c r="D267" s="178"/>
      <c r="E267" s="180"/>
      <c r="F267" s="263">
        <f>SUM(F248:F265)</f>
        <v>60181.32948</v>
      </c>
      <c r="G267" s="319">
        <f>SUM(G248:G266)</f>
        <v>84855.674566800022</v>
      </c>
      <c r="H267" s="246"/>
      <c r="I267" s="246"/>
      <c r="J267" s="246"/>
      <c r="K267" s="246"/>
      <c r="L267" s="246"/>
      <c r="M267" s="246"/>
      <c r="N267" s="246"/>
      <c r="O267" s="246"/>
      <c r="P267" s="246"/>
      <c r="Q267" s="255"/>
      <c r="R267" s="265"/>
      <c r="S267" s="226">
        <f>R267-F267</f>
        <v>-60181.32948</v>
      </c>
      <c r="T267" s="236">
        <f>IF(F267=0,0,S267/F267)</f>
        <v>-1</v>
      </c>
      <c r="U267" s="226">
        <f>R267*$C$4</f>
        <v>0</v>
      </c>
      <c r="V267" s="226">
        <f>U267-G267</f>
        <v>-84855.674566800022</v>
      </c>
      <c r="W267" s="236">
        <f>IF(G267=0,0,V267/G267)</f>
        <v>-1</v>
      </c>
      <c r="X267" s="236"/>
    </row>
    <row r="268" spans="1:25" x14ac:dyDescent="0.25">
      <c r="A268" s="146"/>
      <c r="B268" s="146"/>
      <c r="C268" s="118"/>
      <c r="D268" s="122"/>
      <c r="E268" s="123"/>
      <c r="F268" s="55">
        <f ca="1">(F267/F270)</f>
        <v>9.4283820968106113E-2</v>
      </c>
      <c r="G268" s="55">
        <f ca="1">(G267/G270)</f>
        <v>9.4283820968106127E-2</v>
      </c>
      <c r="H268" s="247"/>
      <c r="I268" s="248"/>
      <c r="J268" s="248"/>
      <c r="K268" s="248"/>
      <c r="L268" s="248"/>
      <c r="M268" s="248"/>
      <c r="N268" s="248"/>
      <c r="O268" s="248"/>
      <c r="P268" s="248"/>
      <c r="Q268" s="248"/>
      <c r="R268" s="228"/>
      <c r="S268" s="228"/>
      <c r="T268" s="228"/>
      <c r="U268" s="228"/>
      <c r="V268" s="228"/>
      <c r="W268" s="183" t="s">
        <v>180</v>
      </c>
      <c r="X268" s="183"/>
      <c r="Y268" s="53"/>
    </row>
    <row r="269" spans="1:25" x14ac:dyDescent="0.25">
      <c r="F269" s="48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1"/>
      <c r="S269" s="1"/>
      <c r="T269" s="1"/>
      <c r="U269" s="1"/>
      <c r="V269" s="1"/>
    </row>
    <row r="270" spans="1:25" ht="13.8" thickBot="1" x14ac:dyDescent="0.3">
      <c r="A270" s="275"/>
      <c r="B270" s="275" t="s">
        <v>318</v>
      </c>
      <c r="C270" s="276"/>
      <c r="D270" s="277"/>
      <c r="E270" s="274"/>
      <c r="F270" s="278">
        <f ca="1">SUM(F244+F267)</f>
        <v>638299.64528439997</v>
      </c>
      <c r="G270" s="278">
        <f ca="1">G244+G267</f>
        <v>900002.49985100399</v>
      </c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175"/>
      <c r="S270" s="175"/>
      <c r="T270" s="175"/>
      <c r="U270" s="175"/>
      <c r="V270" s="175"/>
    </row>
    <row r="271" spans="1:25" ht="13.8" thickTop="1" x14ac:dyDescent="0.25">
      <c r="F271" s="4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"/>
      <c r="S271" s="1"/>
      <c r="T271" s="1"/>
      <c r="U271" s="1"/>
      <c r="V271" s="1"/>
    </row>
    <row r="272" spans="1:25" ht="13.8" thickBot="1" x14ac:dyDescent="0.3">
      <c r="A272" s="184" t="s">
        <v>24</v>
      </c>
      <c r="B272" s="185"/>
      <c r="C272" s="186"/>
      <c r="D272" s="187"/>
      <c r="E272" s="188"/>
      <c r="F272" s="56">
        <f ca="1">SUM(F270-F73)</f>
        <v>425533.68528440001</v>
      </c>
      <c r="G272" s="56">
        <f ca="1">SUM(G270-G73)</f>
        <v>600002.49625100405</v>
      </c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229"/>
      <c r="S272" s="229"/>
      <c r="T272" s="229"/>
      <c r="U272" s="229"/>
      <c r="V272" s="229"/>
    </row>
    <row r="273" spans="1:22" ht="13.8" thickTop="1" x14ac:dyDescent="0.25">
      <c r="F273" s="74"/>
    </row>
    <row r="274" spans="1:22" x14ac:dyDescent="0.25">
      <c r="A274" s="70" t="s">
        <v>15</v>
      </c>
      <c r="F274" s="74"/>
    </row>
    <row r="275" spans="1:22" x14ac:dyDescent="0.25">
      <c r="F275" s="74"/>
    </row>
    <row r="276" spans="1:22" ht="15" x14ac:dyDescent="0.4">
      <c r="B276" s="190" t="s">
        <v>16</v>
      </c>
      <c r="D276" s="191" t="s">
        <v>26</v>
      </c>
      <c r="F276" s="393" t="s">
        <v>17</v>
      </c>
      <c r="G276" s="394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</row>
    <row r="277" spans="1:22" ht="47.25" customHeight="1" x14ac:dyDescent="0.4">
      <c r="B277" s="77" t="s">
        <v>778</v>
      </c>
      <c r="D277" s="191">
        <f>525*2*$C$4</f>
        <v>1480.5</v>
      </c>
      <c r="F277" s="405" t="s">
        <v>777</v>
      </c>
      <c r="G277" s="406"/>
    </row>
    <row r="278" spans="1:22" ht="60" customHeight="1" x14ac:dyDescent="0.25">
      <c r="B278" s="77" t="s">
        <v>779</v>
      </c>
      <c r="D278" s="72">
        <f>700*$C$4</f>
        <v>987</v>
      </c>
      <c r="F278" s="405" t="s">
        <v>780</v>
      </c>
      <c r="G278" s="406"/>
    </row>
    <row r="279" spans="1:22" x14ac:dyDescent="0.25">
      <c r="F279" s="74"/>
    </row>
    <row r="280" spans="1:22" x14ac:dyDescent="0.25">
      <c r="F280" s="74"/>
    </row>
    <row r="281" spans="1:22" x14ac:dyDescent="0.25">
      <c r="F281" s="74"/>
    </row>
    <row r="282" spans="1:22" x14ac:dyDescent="0.25">
      <c r="F282" s="74"/>
    </row>
    <row r="283" spans="1:22" x14ac:dyDescent="0.25">
      <c r="F283" s="74"/>
    </row>
    <row r="284" spans="1:22" x14ac:dyDescent="0.25">
      <c r="F284" s="74"/>
    </row>
    <row r="285" spans="1:22" x14ac:dyDescent="0.25">
      <c r="F285" s="74"/>
    </row>
    <row r="286" spans="1:22" x14ac:dyDescent="0.25">
      <c r="F286" s="74"/>
    </row>
    <row r="287" spans="1:22" x14ac:dyDescent="0.25">
      <c r="F287" s="74"/>
    </row>
    <row r="288" spans="1:22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  <row r="1889" spans="6:6" x14ac:dyDescent="0.25">
      <c r="F1889" s="74"/>
    </row>
    <row r="1890" spans="6:6" x14ac:dyDescent="0.25">
      <c r="F1890" s="74"/>
    </row>
  </sheetData>
  <mergeCells count="5">
    <mergeCell ref="A1:G1"/>
    <mergeCell ref="H76:Q76"/>
    <mergeCell ref="F276:G276"/>
    <mergeCell ref="F277:G277"/>
    <mergeCell ref="F278:G278"/>
  </mergeCells>
  <conditionalFormatting sqref="F268:V268">
    <cfRule type="cellIs" dxfId="5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8"/>
  <sheetViews>
    <sheetView view="pageBreakPreview" zoomScaleNormal="100" zoomScaleSheetLayoutView="100" workbookViewId="0">
      <pane ySplit="78" topLeftCell="A265" activePane="bottomLeft" state="frozen"/>
      <selection pane="bottomLeft" activeCell="F271" sqref="F271"/>
    </sheetView>
  </sheetViews>
  <sheetFormatPr defaultColWidth="9.109375" defaultRowHeight="13.2" x14ac:dyDescent="0.25"/>
  <cols>
    <col min="1" max="1" width="7.10937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5.44140625" style="73" customWidth="1"/>
    <col min="7" max="7" width="12.33203125" style="49" customWidth="1"/>
    <col min="8" max="17" width="10.109375" style="49" hidden="1" customWidth="1"/>
    <col min="18" max="19" width="13.33203125" style="49" hidden="1" customWidth="1"/>
    <col min="20" max="22" width="10.109375" style="49" hidden="1" customWidth="1"/>
    <col min="23" max="24" width="9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293">
        <v>6.6666666666666697E-4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763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840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136" t="s">
        <v>80</v>
      </c>
      <c r="B83" s="203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47" si="1">R83-F83</f>
        <v>0</v>
      </c>
      <c r="T83" s="231">
        <f t="shared" ref="T83:T147" si="2">IF(F83=0,0,S83/F83)</f>
        <v>0</v>
      </c>
      <c r="U83" s="225">
        <f t="shared" ref="U83:U147" si="3">R83*$C$4</f>
        <v>0</v>
      </c>
      <c r="V83" s="225">
        <f t="shared" ref="V83:V147" si="4">U83-G83</f>
        <v>0</v>
      </c>
      <c r="W83" s="231">
        <f t="shared" ref="W83:W147" si="5">IF(G83=0,0,V83/G83)</f>
        <v>0</v>
      </c>
      <c r="X83" s="231"/>
    </row>
    <row r="84" spans="1:24" hidden="1" x14ac:dyDescent="0.25">
      <c r="A84" s="139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139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106" t="s">
        <v>612</v>
      </c>
      <c r="C91" s="21" t="s">
        <v>392</v>
      </c>
      <c r="D91" s="25">
        <v>48</v>
      </c>
      <c r="E91" s="18">
        <v>975000</v>
      </c>
      <c r="F91" s="48">
        <f t="shared" ref="F91:F96" si="6">D91*E91</f>
        <v>46800000</v>
      </c>
      <c r="G91" s="295">
        <f>F91*C4</f>
        <v>31200.000000000015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-46800000</v>
      </c>
      <c r="T91" s="231">
        <f t="shared" si="2"/>
        <v>-1</v>
      </c>
      <c r="U91" s="225">
        <f t="shared" si="3"/>
        <v>0</v>
      </c>
      <c r="V91" s="225">
        <f t="shared" si="4"/>
        <v>-31200.000000000015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613</v>
      </c>
      <c r="C92" s="21" t="s">
        <v>392</v>
      </c>
      <c r="D92" s="25">
        <v>96</v>
      </c>
      <c r="E92" s="18">
        <v>682500</v>
      </c>
      <c r="F92" s="48">
        <f t="shared" si="6"/>
        <v>65520000</v>
      </c>
      <c r="G92" s="295">
        <f>F92*C4</f>
        <v>43680.000000000022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-65520000</v>
      </c>
      <c r="T92" s="231">
        <f t="shared" si="2"/>
        <v>-1</v>
      </c>
      <c r="U92" s="225">
        <f t="shared" si="3"/>
        <v>0</v>
      </c>
      <c r="V92" s="225">
        <f t="shared" si="4"/>
        <v>-43680.000000000022</v>
      </c>
      <c r="W92" s="231">
        <f t="shared" si="5"/>
        <v>-1</v>
      </c>
      <c r="X92" s="231"/>
    </row>
    <row r="93" spans="1:24" hidden="1" x14ac:dyDescent="0.25">
      <c r="A93" s="144" t="s">
        <v>89</v>
      </c>
      <c r="B93" s="57"/>
      <c r="C93" s="21"/>
      <c r="D93" s="25"/>
      <c r="E93" s="18"/>
      <c r="F93" s="48">
        <f t="shared" si="6"/>
        <v>0</v>
      </c>
      <c r="G93" s="295">
        <f>F93*C4</f>
        <v>0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0</v>
      </c>
      <c r="T93" s="231">
        <f t="shared" si="2"/>
        <v>0</v>
      </c>
      <c r="U93" s="225">
        <f t="shared" si="3"/>
        <v>0</v>
      </c>
      <c r="V93" s="225">
        <f t="shared" si="4"/>
        <v>0</v>
      </c>
      <c r="W93" s="231">
        <f t="shared" si="5"/>
        <v>0</v>
      </c>
      <c r="X93" s="231"/>
    </row>
    <row r="94" spans="1:24" hidden="1" x14ac:dyDescent="0.25">
      <c r="A94" s="144" t="s">
        <v>90</v>
      </c>
      <c r="B94" s="57"/>
      <c r="C94" s="21"/>
      <c r="D94" s="25"/>
      <c r="E94" s="18"/>
      <c r="F94" s="48">
        <f t="shared" si="6"/>
        <v>0</v>
      </c>
      <c r="G94" s="295">
        <f>F94*C4</f>
        <v>0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0</v>
      </c>
      <c r="T94" s="231">
        <f t="shared" si="2"/>
        <v>0</v>
      </c>
      <c r="U94" s="225">
        <f t="shared" si="3"/>
        <v>0</v>
      </c>
      <c r="V94" s="225">
        <f t="shared" si="4"/>
        <v>0</v>
      </c>
      <c r="W94" s="231">
        <f t="shared" si="5"/>
        <v>0</v>
      </c>
      <c r="X94" s="231"/>
    </row>
    <row r="95" spans="1:24" hidden="1" x14ac:dyDescent="0.25">
      <c r="A95" s="144" t="s">
        <v>91</v>
      </c>
      <c r="B95" s="57"/>
      <c r="C95" s="21"/>
      <c r="D95" s="25"/>
      <c r="E95" s="18"/>
      <c r="F95" s="48">
        <f t="shared" si="6"/>
        <v>0</v>
      </c>
      <c r="G95" s="295">
        <f>F95*C4</f>
        <v>0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0</v>
      </c>
      <c r="T95" s="231">
        <f t="shared" si="2"/>
        <v>0</v>
      </c>
      <c r="U95" s="225">
        <f t="shared" si="3"/>
        <v>0</v>
      </c>
      <c r="V95" s="225">
        <f t="shared" si="4"/>
        <v>0</v>
      </c>
      <c r="W95" s="231">
        <f t="shared" si="5"/>
        <v>0</v>
      </c>
      <c r="X95" s="231"/>
    </row>
    <row r="96" spans="1:24" hidden="1" x14ac:dyDescent="0.25">
      <c r="A96" s="144" t="s">
        <v>92</v>
      </c>
      <c r="B96" s="57"/>
      <c r="C96" s="21"/>
      <c r="D96" s="25"/>
      <c r="E96" s="18"/>
      <c r="F96" s="48">
        <f t="shared" si="6"/>
        <v>0</v>
      </c>
      <c r="G96" s="295">
        <f>F96*C4</f>
        <v>0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0</v>
      </c>
      <c r="T96" s="231">
        <f t="shared" si="2"/>
        <v>0</v>
      </c>
      <c r="U96" s="225">
        <f t="shared" si="3"/>
        <v>0</v>
      </c>
      <c r="V96" s="225">
        <f t="shared" si="4"/>
        <v>0</v>
      </c>
      <c r="W96" s="231">
        <f t="shared" si="5"/>
        <v>0</v>
      </c>
      <c r="X96" s="231"/>
    </row>
    <row r="97" spans="1:24" x14ac:dyDescent="0.25">
      <c r="A97" s="87"/>
      <c r="B97" s="145"/>
      <c r="C97" s="10"/>
      <c r="D97" s="11"/>
      <c r="E97" s="12"/>
      <c r="F97" s="48"/>
      <c r="G97" s="87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187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hidden="1" x14ac:dyDescent="0.25">
      <c r="A99" s="194"/>
      <c r="B99" s="195" t="s">
        <v>186</v>
      </c>
      <c r="C99" s="196"/>
      <c r="D99" s="197"/>
      <c r="E99" s="198"/>
      <c r="F99" s="199">
        <f>SUM(F91:F97)</f>
        <v>112320000</v>
      </c>
      <c r="G99" s="194">
        <f>SUM(G91:G97)</f>
        <v>74880.000000000029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-112320000</v>
      </c>
      <c r="T99" s="231">
        <f t="shared" si="2"/>
        <v>-1</v>
      </c>
      <c r="U99" s="225">
        <f t="shared" si="3"/>
        <v>0</v>
      </c>
      <c r="V99" s="225">
        <f t="shared" si="4"/>
        <v>-74880.000000000029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112320000</v>
      </c>
      <c r="G100" s="50">
        <f>SUM(G81+G83+G84+G85+G86+G87+G88+G91+G92+G93+G94+G95+G96)</f>
        <v>74880.000000000029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-112320000</v>
      </c>
      <c r="T100" s="238">
        <f t="shared" si="2"/>
        <v>-1</v>
      </c>
      <c r="U100" s="237">
        <f t="shared" si="3"/>
        <v>0</v>
      </c>
      <c r="V100" s="237">
        <f t="shared" si="4"/>
        <v>-74880.000000000029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hidden="1" x14ac:dyDescent="0.25">
      <c r="A103" s="220" t="s">
        <v>94</v>
      </c>
      <c r="B103" s="221" t="s">
        <v>66</v>
      </c>
      <c r="C103" s="210"/>
      <c r="D103" s="211"/>
      <c r="E103" s="212"/>
      <c r="F103" s="208">
        <f>SUM(F104:F108)</f>
        <v>0</v>
      </c>
      <c r="G103" s="209">
        <f>SUM(G104:G108)</f>
        <v>0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0</v>
      </c>
      <c r="T103" s="240">
        <f t="shared" si="2"/>
        <v>0</v>
      </c>
      <c r="U103" s="239">
        <f t="shared" si="3"/>
        <v>0</v>
      </c>
      <c r="V103" s="239">
        <f t="shared" si="4"/>
        <v>0</v>
      </c>
      <c r="W103" s="240">
        <f t="shared" si="5"/>
        <v>0</v>
      </c>
      <c r="X103" s="240"/>
    </row>
    <row r="104" spans="1:24" hidden="1" x14ac:dyDescent="0.25">
      <c r="A104" s="148" t="s">
        <v>195</v>
      </c>
      <c r="B104" s="106" t="s">
        <v>249</v>
      </c>
      <c r="C104" s="28"/>
      <c r="D104" s="29"/>
      <c r="E104" s="30"/>
      <c r="F104" s="48">
        <f>D104*E104</f>
        <v>0</v>
      </c>
      <c r="G104" s="49">
        <f>F104*C4</f>
        <v>0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0</v>
      </c>
      <c r="T104" s="231">
        <f t="shared" si="2"/>
        <v>0</v>
      </c>
      <c r="U104" s="225">
        <f t="shared" si="3"/>
        <v>0</v>
      </c>
      <c r="V104" s="225">
        <f t="shared" si="4"/>
        <v>0</v>
      </c>
      <c r="W104" s="231">
        <f t="shared" si="5"/>
        <v>0</v>
      </c>
      <c r="X104" s="231"/>
    </row>
    <row r="105" spans="1:24" hidden="1" x14ac:dyDescent="0.25">
      <c r="A105" s="148" t="s">
        <v>196</v>
      </c>
      <c r="B105" s="106" t="s">
        <v>250</v>
      </c>
      <c r="C105" s="28"/>
      <c r="D105" s="29"/>
      <c r="E105" s="30"/>
      <c r="F105" s="48">
        <f>D105*E105</f>
        <v>0</v>
      </c>
      <c r="G105" s="49">
        <f>F105*C4</f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0</v>
      </c>
      <c r="T105" s="231">
        <f t="shared" si="2"/>
        <v>0</v>
      </c>
      <c r="U105" s="225">
        <f t="shared" si="3"/>
        <v>0</v>
      </c>
      <c r="V105" s="225">
        <f t="shared" si="4"/>
        <v>0</v>
      </c>
      <c r="W105" s="231">
        <f t="shared" si="5"/>
        <v>0</v>
      </c>
      <c r="X105" s="231"/>
    </row>
    <row r="106" spans="1:24" hidden="1" x14ac:dyDescent="0.25">
      <c r="A106" s="148" t="s">
        <v>197</v>
      </c>
      <c r="B106" s="106" t="s">
        <v>251</v>
      </c>
      <c r="C106" s="28"/>
      <c r="D106" s="29"/>
      <c r="E106" s="30"/>
      <c r="F106" s="48">
        <f>D106*E106</f>
        <v>0</v>
      </c>
      <c r="G106" s="49">
        <f>F106*C4</f>
        <v>0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0</v>
      </c>
      <c r="T106" s="231">
        <f t="shared" si="2"/>
        <v>0</v>
      </c>
      <c r="U106" s="225">
        <f t="shared" si="3"/>
        <v>0</v>
      </c>
      <c r="V106" s="225">
        <f t="shared" si="4"/>
        <v>0</v>
      </c>
      <c r="W106" s="231">
        <f t="shared" si="5"/>
        <v>0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49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49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x14ac:dyDescent="0.25">
      <c r="A109" s="220" t="s">
        <v>95</v>
      </c>
      <c r="B109" s="221" t="s">
        <v>55</v>
      </c>
      <c r="C109" s="210"/>
      <c r="D109" s="211"/>
      <c r="E109" s="212"/>
      <c r="F109" s="208">
        <f>SUM(F110:F115)</f>
        <v>144000000</v>
      </c>
      <c r="G109" s="315">
        <f>SUM(G110:G115)</f>
        <v>96000.000000000044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-144000000</v>
      </c>
      <c r="T109" s="240">
        <f t="shared" si="2"/>
        <v>-1</v>
      </c>
      <c r="U109" s="239">
        <f t="shared" si="3"/>
        <v>0</v>
      </c>
      <c r="V109" s="239">
        <f t="shared" si="4"/>
        <v>-96000.000000000044</v>
      </c>
      <c r="W109" s="240">
        <f t="shared" si="5"/>
        <v>-1</v>
      </c>
      <c r="X109" s="240"/>
    </row>
    <row r="110" spans="1:24" ht="26.4" x14ac:dyDescent="0.25">
      <c r="A110" s="148" t="s">
        <v>200</v>
      </c>
      <c r="B110" s="106" t="s">
        <v>814</v>
      </c>
      <c r="C110" s="106" t="s">
        <v>813</v>
      </c>
      <c r="D110" s="106">
        <v>4800</v>
      </c>
      <c r="E110" s="106">
        <v>15000</v>
      </c>
      <c r="F110" s="48">
        <f t="shared" ref="F110:F115" si="7">D110*E110</f>
        <v>72000000</v>
      </c>
      <c r="G110" s="48">
        <f>F110*$C$4</f>
        <v>48000.000000000022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-72000000</v>
      </c>
      <c r="T110" s="231">
        <f t="shared" si="2"/>
        <v>-1</v>
      </c>
      <c r="U110" s="225">
        <f t="shared" si="3"/>
        <v>0</v>
      </c>
      <c r="V110" s="225">
        <f t="shared" si="4"/>
        <v>-48000.000000000022</v>
      </c>
      <c r="W110" s="231">
        <f t="shared" si="5"/>
        <v>-1</v>
      </c>
      <c r="X110" s="231"/>
    </row>
    <row r="111" spans="1:24" ht="26.4" x14ac:dyDescent="0.25">
      <c r="A111" s="148" t="s">
        <v>816</v>
      </c>
      <c r="B111" s="106" t="s">
        <v>815</v>
      </c>
      <c r="C111" s="106" t="s">
        <v>817</v>
      </c>
      <c r="D111" s="106">
        <v>48000</v>
      </c>
      <c r="E111" s="106">
        <v>1350</v>
      </c>
      <c r="F111" s="48">
        <f t="shared" si="7"/>
        <v>64800000</v>
      </c>
      <c r="G111" s="48">
        <f t="shared" ref="G111:G112" si="8">F111*$C$4</f>
        <v>43200.000000000022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/>
      <c r="T111" s="231"/>
      <c r="U111" s="225"/>
      <c r="V111" s="225"/>
      <c r="W111" s="231"/>
      <c r="X111" s="231"/>
    </row>
    <row r="112" spans="1:24" x14ac:dyDescent="0.25">
      <c r="A112" s="148" t="s">
        <v>202</v>
      </c>
      <c r="B112" s="106" t="s">
        <v>818</v>
      </c>
      <c r="C112" s="28" t="s">
        <v>616</v>
      </c>
      <c r="D112" s="281">
        <v>96</v>
      </c>
      <c r="E112" s="282">
        <v>75000</v>
      </c>
      <c r="F112" s="48">
        <f t="shared" si="7"/>
        <v>7200000</v>
      </c>
      <c r="G112" s="49">
        <f t="shared" si="8"/>
        <v>4800.0000000000018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-7200000</v>
      </c>
      <c r="T112" s="231">
        <f t="shared" si="2"/>
        <v>-1</v>
      </c>
      <c r="U112" s="225">
        <f t="shared" si="3"/>
        <v>0</v>
      </c>
      <c r="V112" s="225">
        <f t="shared" si="4"/>
        <v>-4800.0000000000018</v>
      </c>
      <c r="W112" s="231">
        <f t="shared" si="5"/>
        <v>-1</v>
      </c>
      <c r="X112" s="231"/>
    </row>
    <row r="113" spans="1:24" hidden="1" x14ac:dyDescent="0.25">
      <c r="A113" s="148" t="s">
        <v>202</v>
      </c>
      <c r="B113" s="106" t="s">
        <v>257</v>
      </c>
      <c r="C113" s="28"/>
      <c r="D113" s="29"/>
      <c r="E113" s="30"/>
      <c r="F113" s="48">
        <f t="shared" si="7"/>
        <v>0</v>
      </c>
      <c r="G113" s="295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203</v>
      </c>
      <c r="B114" s="106" t="s">
        <v>256</v>
      </c>
      <c r="C114" s="28"/>
      <c r="D114" s="29"/>
      <c r="E114" s="30"/>
      <c r="F114" s="48">
        <f t="shared" si="7"/>
        <v>0</v>
      </c>
      <c r="G114" s="295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148" t="s">
        <v>204</v>
      </c>
      <c r="B115" s="106" t="s">
        <v>255</v>
      </c>
      <c r="C115" s="28"/>
      <c r="D115" s="29"/>
      <c r="E115" s="30"/>
      <c r="F115" s="48">
        <f t="shared" si="7"/>
        <v>0</v>
      </c>
      <c r="G115" s="295">
        <f>F115*C4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25">
        <f t="shared" si="1"/>
        <v>0</v>
      </c>
      <c r="T115" s="231">
        <f t="shared" si="2"/>
        <v>0</v>
      </c>
      <c r="U115" s="225">
        <f t="shared" si="3"/>
        <v>0</v>
      </c>
      <c r="V115" s="225">
        <f t="shared" si="4"/>
        <v>0</v>
      </c>
      <c r="W115" s="231">
        <f t="shared" si="5"/>
        <v>0</v>
      </c>
      <c r="X115" s="231"/>
    </row>
    <row r="116" spans="1:24" x14ac:dyDescent="0.25">
      <c r="A116" s="220" t="s">
        <v>96</v>
      </c>
      <c r="B116" s="221" t="s">
        <v>67</v>
      </c>
      <c r="C116" s="210"/>
      <c r="D116" s="211"/>
      <c r="E116" s="212"/>
      <c r="F116" s="208">
        <f>SUM(F117:F121)</f>
        <v>120000000</v>
      </c>
      <c r="G116" s="315">
        <f>SUM(G117:G121)</f>
        <v>80000.000000000029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39">
        <f t="shared" si="1"/>
        <v>-120000000</v>
      </c>
      <c r="T116" s="240">
        <f t="shared" si="2"/>
        <v>-1</v>
      </c>
      <c r="U116" s="239">
        <f t="shared" si="3"/>
        <v>0</v>
      </c>
      <c r="V116" s="239">
        <f t="shared" si="4"/>
        <v>-80000.000000000029</v>
      </c>
      <c r="W116" s="240">
        <f t="shared" si="5"/>
        <v>-1</v>
      </c>
      <c r="X116" s="240"/>
    </row>
    <row r="117" spans="1:24" ht="52.8" x14ac:dyDescent="0.25">
      <c r="A117" s="148" t="s">
        <v>205</v>
      </c>
      <c r="B117" s="106" t="s">
        <v>804</v>
      </c>
      <c r="C117" s="28" t="s">
        <v>805</v>
      </c>
      <c r="D117" s="281">
        <v>2</v>
      </c>
      <c r="E117" s="282">
        <v>60000000</v>
      </c>
      <c r="F117" s="48">
        <f>D117*E117</f>
        <v>120000000</v>
      </c>
      <c r="G117" s="295">
        <f>F117*C4</f>
        <v>80000.000000000029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-120000000</v>
      </c>
      <c r="T117" s="231">
        <f t="shared" si="2"/>
        <v>-1</v>
      </c>
      <c r="U117" s="225">
        <f t="shared" si="3"/>
        <v>0</v>
      </c>
      <c r="V117" s="225">
        <f t="shared" si="4"/>
        <v>-80000.000000000029</v>
      </c>
      <c r="W117" s="231">
        <f t="shared" si="5"/>
        <v>-1</v>
      </c>
      <c r="X117" s="231"/>
    </row>
    <row r="118" spans="1:24" hidden="1" x14ac:dyDescent="0.25">
      <c r="A118" s="148" t="s">
        <v>206</v>
      </c>
      <c r="B118" s="106" t="s">
        <v>260</v>
      </c>
      <c r="C118" s="28"/>
      <c r="D118" s="29"/>
      <c r="E118" s="30"/>
      <c r="F118" s="48">
        <f>D118*E118</f>
        <v>0</v>
      </c>
      <c r="G118" s="295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207</v>
      </c>
      <c r="B119" s="106" t="s">
        <v>261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208</v>
      </c>
      <c r="B120" s="106" t="s">
        <v>262</v>
      </c>
      <c r="C120" s="28"/>
      <c r="D120" s="29"/>
      <c r="E120" s="30"/>
      <c r="F120" s="48">
        <f>D120*E120</f>
        <v>0</v>
      </c>
      <c r="G120" s="295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hidden="1" x14ac:dyDescent="0.25">
      <c r="A121" s="148" t="s">
        <v>209</v>
      </c>
      <c r="B121" s="106" t="s">
        <v>263</v>
      </c>
      <c r="C121" s="28"/>
      <c r="D121" s="29"/>
      <c r="E121" s="30"/>
      <c r="F121" s="48">
        <f>D121*E121</f>
        <v>0</v>
      </c>
      <c r="G121" s="295">
        <f>F121*C4</f>
        <v>0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25">
        <f t="shared" si="1"/>
        <v>0</v>
      </c>
      <c r="T121" s="231">
        <f t="shared" si="2"/>
        <v>0</v>
      </c>
      <c r="U121" s="225">
        <f t="shared" si="3"/>
        <v>0</v>
      </c>
      <c r="V121" s="225">
        <f t="shared" si="4"/>
        <v>0</v>
      </c>
      <c r="W121" s="231">
        <f t="shared" si="5"/>
        <v>0</v>
      </c>
      <c r="X121" s="231"/>
    </row>
    <row r="122" spans="1:24" x14ac:dyDescent="0.25">
      <c r="A122" s="220" t="s">
        <v>97</v>
      </c>
      <c r="B122" s="221" t="s">
        <v>68</v>
      </c>
      <c r="C122" s="210"/>
      <c r="D122" s="211"/>
      <c r="E122" s="212"/>
      <c r="F122" s="208">
        <f>SUM(F123:F127)</f>
        <v>60000000</v>
      </c>
      <c r="G122" s="315">
        <f>SUM(G123:G127)</f>
        <v>40000.000000000015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39">
        <f t="shared" si="1"/>
        <v>-60000000</v>
      </c>
      <c r="T122" s="240">
        <f t="shared" si="2"/>
        <v>-1</v>
      </c>
      <c r="U122" s="239">
        <f t="shared" si="3"/>
        <v>0</v>
      </c>
      <c r="V122" s="239">
        <f t="shared" si="4"/>
        <v>-40000.000000000015</v>
      </c>
      <c r="W122" s="240">
        <f t="shared" si="5"/>
        <v>-1</v>
      </c>
      <c r="X122" s="240"/>
    </row>
    <row r="123" spans="1:24" ht="26.4" x14ac:dyDescent="0.25">
      <c r="A123" s="148" t="s">
        <v>210</v>
      </c>
      <c r="B123" s="106" t="s">
        <v>615</v>
      </c>
      <c r="C123" s="28" t="s">
        <v>616</v>
      </c>
      <c r="D123" s="281">
        <v>40</v>
      </c>
      <c r="E123" s="282">
        <v>1500000</v>
      </c>
      <c r="F123" s="48">
        <f>D123*E123</f>
        <v>60000000</v>
      </c>
      <c r="G123" s="295">
        <f>F123*C4</f>
        <v>40000.000000000015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-60000000</v>
      </c>
      <c r="T123" s="231">
        <f t="shared" si="2"/>
        <v>-1</v>
      </c>
      <c r="U123" s="225">
        <f t="shared" si="3"/>
        <v>0</v>
      </c>
      <c r="V123" s="225">
        <f t="shared" si="4"/>
        <v>-40000.000000000015</v>
      </c>
      <c r="W123" s="231">
        <f t="shared" si="5"/>
        <v>-1</v>
      </c>
      <c r="X123" s="231"/>
    </row>
    <row r="124" spans="1:24" hidden="1" x14ac:dyDescent="0.25">
      <c r="A124" s="148" t="s">
        <v>211</v>
      </c>
      <c r="B124" s="106" t="s">
        <v>265</v>
      </c>
      <c r="C124" s="28"/>
      <c r="D124" s="29"/>
      <c r="E124" s="30"/>
      <c r="F124" s="48">
        <f>D124*E124</f>
        <v>0</v>
      </c>
      <c r="G124" s="295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212</v>
      </c>
      <c r="B125" s="106" t="s">
        <v>266</v>
      </c>
      <c r="C125" s="28"/>
      <c r="D125" s="29"/>
      <c r="E125" s="30"/>
      <c r="F125" s="48">
        <f>D125*E125</f>
        <v>0</v>
      </c>
      <c r="G125" s="295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213</v>
      </c>
      <c r="B126" s="106" t="s">
        <v>267</v>
      </c>
      <c r="C126" s="28"/>
      <c r="D126" s="29"/>
      <c r="E126" s="30"/>
      <c r="F126" s="48">
        <f>D126*E126</f>
        <v>0</v>
      </c>
      <c r="G126" s="295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hidden="1" x14ac:dyDescent="0.25">
      <c r="A127" s="148" t="s">
        <v>214</v>
      </c>
      <c r="B127" s="106" t="s">
        <v>268</v>
      </c>
      <c r="C127" s="28"/>
      <c r="D127" s="29"/>
      <c r="E127" s="30"/>
      <c r="F127" s="48">
        <f>D127*E127</f>
        <v>0</v>
      </c>
      <c r="G127" s="295">
        <f>F127*C4</f>
        <v>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25">
        <f t="shared" si="1"/>
        <v>0</v>
      </c>
      <c r="T127" s="231">
        <f t="shared" si="2"/>
        <v>0</v>
      </c>
      <c r="U127" s="225">
        <f t="shared" si="3"/>
        <v>0</v>
      </c>
      <c r="V127" s="225">
        <f t="shared" si="4"/>
        <v>0</v>
      </c>
      <c r="W127" s="231">
        <f t="shared" si="5"/>
        <v>0</v>
      </c>
      <c r="X127" s="231"/>
    </row>
    <row r="128" spans="1:24" hidden="1" x14ac:dyDescent="0.25">
      <c r="A128" s="220" t="s">
        <v>98</v>
      </c>
      <c r="B128" s="221" t="s">
        <v>69</v>
      </c>
      <c r="C128" s="210"/>
      <c r="D128" s="211"/>
      <c r="E128" s="212"/>
      <c r="F128" s="208">
        <f>SUM(F129:F133)</f>
        <v>0</v>
      </c>
      <c r="G128" s="315">
        <f>SUM(G129:G133)</f>
        <v>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39">
        <f t="shared" si="1"/>
        <v>0</v>
      </c>
      <c r="T128" s="240">
        <f t="shared" si="2"/>
        <v>0</v>
      </c>
      <c r="U128" s="239">
        <f t="shared" si="3"/>
        <v>0</v>
      </c>
      <c r="V128" s="239">
        <f t="shared" si="4"/>
        <v>0</v>
      </c>
      <c r="W128" s="240">
        <f t="shared" si="5"/>
        <v>0</v>
      </c>
      <c r="X128" s="240"/>
    </row>
    <row r="129" spans="1:24" hidden="1" x14ac:dyDescent="0.25">
      <c r="A129" s="148" t="s">
        <v>215</v>
      </c>
      <c r="B129" s="106" t="s">
        <v>269</v>
      </c>
      <c r="C129" s="28"/>
      <c r="D129" s="29"/>
      <c r="E129" s="30"/>
      <c r="F129" s="48">
        <f>D129*E129</f>
        <v>0</v>
      </c>
      <c r="G129" s="295">
        <f>F129*C4</f>
        <v>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0</v>
      </c>
      <c r="T129" s="231">
        <f t="shared" si="2"/>
        <v>0</v>
      </c>
      <c r="U129" s="225">
        <f t="shared" si="3"/>
        <v>0</v>
      </c>
      <c r="V129" s="225">
        <f t="shared" si="4"/>
        <v>0</v>
      </c>
      <c r="W129" s="231">
        <f t="shared" si="5"/>
        <v>0</v>
      </c>
      <c r="X129" s="231"/>
    </row>
    <row r="130" spans="1:24" hidden="1" x14ac:dyDescent="0.25">
      <c r="A130" s="148" t="s">
        <v>216</v>
      </c>
      <c r="B130" s="106" t="s">
        <v>270</v>
      </c>
      <c r="C130" s="28"/>
      <c r="D130" s="29"/>
      <c r="E130" s="30"/>
      <c r="F130" s="48">
        <f>D130*E130</f>
        <v>0</v>
      </c>
      <c r="G130" s="295">
        <f>F130*C4</f>
        <v>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0</v>
      </c>
      <c r="T130" s="231">
        <f t="shared" si="2"/>
        <v>0</v>
      </c>
      <c r="U130" s="225">
        <f t="shared" si="3"/>
        <v>0</v>
      </c>
      <c r="V130" s="225">
        <f t="shared" si="4"/>
        <v>0</v>
      </c>
      <c r="W130" s="231">
        <f t="shared" si="5"/>
        <v>0</v>
      </c>
      <c r="X130" s="231"/>
    </row>
    <row r="131" spans="1:24" hidden="1" x14ac:dyDescent="0.25">
      <c r="A131" s="148" t="s">
        <v>217</v>
      </c>
      <c r="B131" s="106" t="s">
        <v>271</v>
      </c>
      <c r="C131" s="28"/>
      <c r="D131" s="29"/>
      <c r="E131" s="30"/>
      <c r="F131" s="48">
        <f>D131*E131</f>
        <v>0</v>
      </c>
      <c r="G131" s="295">
        <f>F131*C4</f>
        <v>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0</v>
      </c>
      <c r="T131" s="231">
        <f t="shared" si="2"/>
        <v>0</v>
      </c>
      <c r="U131" s="225">
        <f t="shared" si="3"/>
        <v>0</v>
      </c>
      <c r="V131" s="225">
        <f t="shared" si="4"/>
        <v>0</v>
      </c>
      <c r="W131" s="231">
        <f t="shared" si="5"/>
        <v>0</v>
      </c>
      <c r="X131" s="231"/>
    </row>
    <row r="132" spans="1:24" hidden="1" x14ac:dyDescent="0.25">
      <c r="A132" s="148" t="s">
        <v>218</v>
      </c>
      <c r="B132" s="106" t="s">
        <v>272</v>
      </c>
      <c r="C132" s="28"/>
      <c r="D132" s="29"/>
      <c r="E132" s="30"/>
      <c r="F132" s="48">
        <f>D132*E132</f>
        <v>0</v>
      </c>
      <c r="G132" s="295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hidden="1" x14ac:dyDescent="0.25">
      <c r="A133" s="148" t="s">
        <v>219</v>
      </c>
      <c r="B133" s="106" t="s">
        <v>273</v>
      </c>
      <c r="C133" s="28"/>
      <c r="D133" s="29"/>
      <c r="E133" s="30"/>
      <c r="F133" s="48">
        <f>D133*E133</f>
        <v>0</v>
      </c>
      <c r="G133" s="295">
        <f>F133*C4</f>
        <v>0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25">
        <f t="shared" si="1"/>
        <v>0</v>
      </c>
      <c r="T133" s="231">
        <f t="shared" si="2"/>
        <v>0</v>
      </c>
      <c r="U133" s="225">
        <f t="shared" si="3"/>
        <v>0</v>
      </c>
      <c r="V133" s="225">
        <f t="shared" si="4"/>
        <v>0</v>
      </c>
      <c r="W133" s="231">
        <f t="shared" si="5"/>
        <v>0</v>
      </c>
      <c r="X133" s="231"/>
    </row>
    <row r="134" spans="1:24" x14ac:dyDescent="0.25">
      <c r="A134" s="220" t="s">
        <v>99</v>
      </c>
      <c r="B134" s="221" t="s">
        <v>54</v>
      </c>
      <c r="C134" s="210"/>
      <c r="D134" s="211"/>
      <c r="E134" s="212"/>
      <c r="F134" s="208">
        <f>SUM(F135:F139)</f>
        <v>90000000</v>
      </c>
      <c r="G134" s="315">
        <f>SUM(G135:G139)</f>
        <v>60000.000000000029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39">
        <f t="shared" si="1"/>
        <v>-90000000</v>
      </c>
      <c r="T134" s="240">
        <f t="shared" si="2"/>
        <v>-1</v>
      </c>
      <c r="U134" s="239">
        <f t="shared" si="3"/>
        <v>0</v>
      </c>
      <c r="V134" s="239">
        <f t="shared" si="4"/>
        <v>-60000.000000000029</v>
      </c>
      <c r="W134" s="240">
        <f t="shared" si="5"/>
        <v>-1</v>
      </c>
      <c r="X134" s="240"/>
    </row>
    <row r="135" spans="1:24" ht="39.6" x14ac:dyDescent="0.25">
      <c r="A135" s="148" t="s">
        <v>220</v>
      </c>
      <c r="B135" s="106" t="s">
        <v>806</v>
      </c>
      <c r="C135" s="28" t="s">
        <v>617</v>
      </c>
      <c r="D135" s="281">
        <v>2</v>
      </c>
      <c r="E135" s="282">
        <v>45000000</v>
      </c>
      <c r="F135" s="48">
        <f>D135*E135</f>
        <v>90000000</v>
      </c>
      <c r="G135" s="295">
        <f>F135*C4</f>
        <v>60000.000000000029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-90000000</v>
      </c>
      <c r="T135" s="231">
        <f t="shared" si="2"/>
        <v>-1</v>
      </c>
      <c r="U135" s="225">
        <f t="shared" si="3"/>
        <v>0</v>
      </c>
      <c r="V135" s="225">
        <f t="shared" si="4"/>
        <v>-60000.000000000029</v>
      </c>
      <c r="W135" s="231">
        <f t="shared" si="5"/>
        <v>-1</v>
      </c>
      <c r="X135" s="231"/>
    </row>
    <row r="136" spans="1:24" hidden="1" x14ac:dyDescent="0.25">
      <c r="A136" s="148" t="s">
        <v>221</v>
      </c>
      <c r="B136" s="106" t="s">
        <v>275</v>
      </c>
      <c r="C136" s="28"/>
      <c r="D136" s="29"/>
      <c r="E136" s="30"/>
      <c r="F136" s="48">
        <f>D136*E136</f>
        <v>0</v>
      </c>
      <c r="G136" s="295">
        <f>F136*C4</f>
        <v>0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0</v>
      </c>
      <c r="T136" s="231">
        <f t="shared" si="2"/>
        <v>0</v>
      </c>
      <c r="U136" s="225">
        <f t="shared" si="3"/>
        <v>0</v>
      </c>
      <c r="V136" s="225">
        <f t="shared" si="4"/>
        <v>0</v>
      </c>
      <c r="W136" s="231">
        <f t="shared" si="5"/>
        <v>0</v>
      </c>
      <c r="X136" s="231"/>
    </row>
    <row r="137" spans="1:24" hidden="1" x14ac:dyDescent="0.25">
      <c r="A137" s="148" t="s">
        <v>222</v>
      </c>
      <c r="B137" s="106" t="s">
        <v>276</v>
      </c>
      <c r="C137" s="28"/>
      <c r="D137" s="29"/>
      <c r="E137" s="30"/>
      <c r="F137" s="48">
        <f>D137*E137</f>
        <v>0</v>
      </c>
      <c r="G137" s="295">
        <f>F137*C4</f>
        <v>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0</v>
      </c>
      <c r="T137" s="231">
        <f t="shared" si="2"/>
        <v>0</v>
      </c>
      <c r="U137" s="225">
        <f t="shared" si="3"/>
        <v>0</v>
      </c>
      <c r="V137" s="225">
        <f t="shared" si="4"/>
        <v>0</v>
      </c>
      <c r="W137" s="231">
        <f t="shared" si="5"/>
        <v>0</v>
      </c>
      <c r="X137" s="231"/>
    </row>
    <row r="138" spans="1:24" hidden="1" x14ac:dyDescent="0.25">
      <c r="A138" s="148" t="s">
        <v>223</v>
      </c>
      <c r="B138" s="106" t="s">
        <v>277</v>
      </c>
      <c r="C138" s="28"/>
      <c r="D138" s="29"/>
      <c r="E138" s="30"/>
      <c r="F138" s="48">
        <f>D138*E138</f>
        <v>0</v>
      </c>
      <c r="G138" s="295">
        <f>F138*C4</f>
        <v>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0</v>
      </c>
      <c r="T138" s="231">
        <f t="shared" si="2"/>
        <v>0</v>
      </c>
      <c r="U138" s="225">
        <f t="shared" si="3"/>
        <v>0</v>
      </c>
      <c r="V138" s="225">
        <f t="shared" si="4"/>
        <v>0</v>
      </c>
      <c r="W138" s="231">
        <f t="shared" si="5"/>
        <v>0</v>
      </c>
      <c r="X138" s="231"/>
    </row>
    <row r="139" spans="1:24" hidden="1" x14ac:dyDescent="0.25">
      <c r="A139" s="148" t="s">
        <v>224</v>
      </c>
      <c r="B139" s="106" t="s">
        <v>278</v>
      </c>
      <c r="C139" s="28"/>
      <c r="D139" s="29"/>
      <c r="E139" s="30"/>
      <c r="F139" s="48">
        <f>D139*E139</f>
        <v>0</v>
      </c>
      <c r="G139" s="295">
        <f>F139*C4</f>
        <v>0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25">
        <f t="shared" si="1"/>
        <v>0</v>
      </c>
      <c r="T139" s="231">
        <f t="shared" si="2"/>
        <v>0</v>
      </c>
      <c r="U139" s="225">
        <f t="shared" si="3"/>
        <v>0</v>
      </c>
      <c r="V139" s="225">
        <f t="shared" si="4"/>
        <v>0</v>
      </c>
      <c r="W139" s="231">
        <f t="shared" si="5"/>
        <v>0</v>
      </c>
      <c r="X139" s="231"/>
    </row>
    <row r="140" spans="1:24" x14ac:dyDescent="0.25">
      <c r="A140" s="220" t="s">
        <v>100</v>
      </c>
      <c r="B140" s="221" t="s">
        <v>53</v>
      </c>
      <c r="C140" s="210"/>
      <c r="D140" s="211"/>
      <c r="E140" s="212"/>
      <c r="F140" s="208">
        <f>SUM(F141:F145)</f>
        <v>90000000</v>
      </c>
      <c r="G140" s="315">
        <f>SUM(G141:G145)</f>
        <v>60000.000000000029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39">
        <f t="shared" si="1"/>
        <v>-90000000</v>
      </c>
      <c r="T140" s="240">
        <f t="shared" si="2"/>
        <v>-1</v>
      </c>
      <c r="U140" s="239">
        <f t="shared" si="3"/>
        <v>0</v>
      </c>
      <c r="V140" s="239">
        <f t="shared" si="4"/>
        <v>-60000.000000000029</v>
      </c>
      <c r="W140" s="240">
        <f t="shared" si="5"/>
        <v>-1</v>
      </c>
      <c r="X140" s="240"/>
    </row>
    <row r="141" spans="1:24" ht="39.6" x14ac:dyDescent="0.25">
      <c r="A141" s="148" t="s">
        <v>225</v>
      </c>
      <c r="B141" s="106" t="s">
        <v>807</v>
      </c>
      <c r="C141" s="28" t="s">
        <v>617</v>
      </c>
      <c r="D141" s="281">
        <v>3</v>
      </c>
      <c r="E141" s="282">
        <v>30000000</v>
      </c>
      <c r="F141" s="48">
        <f>D141*E141</f>
        <v>90000000</v>
      </c>
      <c r="G141" s="295">
        <f>F141*C4</f>
        <v>60000.000000000029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-90000000</v>
      </c>
      <c r="T141" s="231">
        <f t="shared" si="2"/>
        <v>-1</v>
      </c>
      <c r="U141" s="225">
        <f t="shared" si="3"/>
        <v>0</v>
      </c>
      <c r="V141" s="225">
        <f t="shared" si="4"/>
        <v>-60000.000000000029</v>
      </c>
      <c r="W141" s="231">
        <f t="shared" si="5"/>
        <v>-1</v>
      </c>
      <c r="X141" s="231"/>
    </row>
    <row r="142" spans="1:24" hidden="1" x14ac:dyDescent="0.25">
      <c r="A142" s="148" t="s">
        <v>226</v>
      </c>
      <c r="B142" s="106" t="s">
        <v>280</v>
      </c>
      <c r="C142" s="28"/>
      <c r="D142" s="29"/>
      <c r="E142" s="30"/>
      <c r="F142" s="48">
        <f>D142*E142</f>
        <v>0</v>
      </c>
      <c r="G142" s="295">
        <f>F142*C4</f>
        <v>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1"/>
        <v>0</v>
      </c>
      <c r="T142" s="231">
        <f t="shared" si="2"/>
        <v>0</v>
      </c>
      <c r="U142" s="225">
        <f t="shared" si="3"/>
        <v>0</v>
      </c>
      <c r="V142" s="225">
        <f t="shared" si="4"/>
        <v>0</v>
      </c>
      <c r="W142" s="231">
        <f t="shared" si="5"/>
        <v>0</v>
      </c>
      <c r="X142" s="231"/>
    </row>
    <row r="143" spans="1:24" hidden="1" x14ac:dyDescent="0.25">
      <c r="A143" s="148" t="s">
        <v>227</v>
      </c>
      <c r="B143" s="106" t="s">
        <v>281</v>
      </c>
      <c r="C143" s="28"/>
      <c r="D143" s="29"/>
      <c r="E143" s="30"/>
      <c r="F143" s="48">
        <f>D143*E143</f>
        <v>0</v>
      </c>
      <c r="G143" s="295">
        <f>F143*C4</f>
        <v>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0</v>
      </c>
      <c r="T143" s="231">
        <f t="shared" si="2"/>
        <v>0</v>
      </c>
      <c r="U143" s="225">
        <f t="shared" si="3"/>
        <v>0</v>
      </c>
      <c r="V143" s="225">
        <f t="shared" si="4"/>
        <v>0</v>
      </c>
      <c r="W143" s="231">
        <f t="shared" si="5"/>
        <v>0</v>
      </c>
      <c r="X143" s="231"/>
    </row>
    <row r="144" spans="1:24" hidden="1" x14ac:dyDescent="0.25">
      <c r="A144" s="148" t="s">
        <v>228</v>
      </c>
      <c r="B144" s="106" t="s">
        <v>282</v>
      </c>
      <c r="C144" s="28"/>
      <c r="D144" s="29"/>
      <c r="E144" s="30"/>
      <c r="F144" s="48">
        <f>D144*E144</f>
        <v>0</v>
      </c>
      <c r="G144" s="295">
        <f>F144*C4</f>
        <v>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0</v>
      </c>
      <c r="T144" s="231">
        <f t="shared" si="2"/>
        <v>0</v>
      </c>
      <c r="U144" s="225">
        <f t="shared" si="3"/>
        <v>0</v>
      </c>
      <c r="V144" s="225">
        <f t="shared" si="4"/>
        <v>0</v>
      </c>
      <c r="W144" s="231">
        <f t="shared" si="5"/>
        <v>0</v>
      </c>
      <c r="X144" s="231"/>
    </row>
    <row r="145" spans="1:24" hidden="1" x14ac:dyDescent="0.25">
      <c r="A145" s="148" t="s">
        <v>229</v>
      </c>
      <c r="B145" s="106" t="s">
        <v>283</v>
      </c>
      <c r="C145" s="28"/>
      <c r="D145" s="29"/>
      <c r="E145" s="30"/>
      <c r="F145" s="48">
        <f>D145*E145</f>
        <v>0</v>
      </c>
      <c r="G145" s="295">
        <f>F145*C4</f>
        <v>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25">
        <f t="shared" si="1"/>
        <v>0</v>
      </c>
      <c r="T145" s="231">
        <f t="shared" si="2"/>
        <v>0</v>
      </c>
      <c r="U145" s="225">
        <f t="shared" si="3"/>
        <v>0</v>
      </c>
      <c r="V145" s="225">
        <f t="shared" si="4"/>
        <v>0</v>
      </c>
      <c r="W145" s="231">
        <f t="shared" si="5"/>
        <v>0</v>
      </c>
      <c r="X145" s="231"/>
    </row>
    <row r="146" spans="1:24" hidden="1" x14ac:dyDescent="0.25">
      <c r="A146" s="220" t="s">
        <v>101</v>
      </c>
      <c r="B146" s="221" t="s">
        <v>70</v>
      </c>
      <c r="C146" s="210"/>
      <c r="D146" s="211"/>
      <c r="E146" s="212"/>
      <c r="F146" s="208">
        <f>SUM(F147:F151)</f>
        <v>0</v>
      </c>
      <c r="G146" s="315">
        <f>SUM(G147:G151)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39">
        <f t="shared" si="1"/>
        <v>0</v>
      </c>
      <c r="T146" s="240">
        <f t="shared" si="2"/>
        <v>0</v>
      </c>
      <c r="U146" s="239">
        <f t="shared" si="3"/>
        <v>0</v>
      </c>
      <c r="V146" s="239">
        <f t="shared" si="4"/>
        <v>0</v>
      </c>
      <c r="W146" s="240">
        <f t="shared" si="5"/>
        <v>0</v>
      </c>
      <c r="X146" s="240"/>
    </row>
    <row r="147" spans="1:24" hidden="1" x14ac:dyDescent="0.25">
      <c r="A147" s="148" t="s">
        <v>230</v>
      </c>
      <c r="B147" s="106" t="s">
        <v>284</v>
      </c>
      <c r="C147" s="28"/>
      <c r="D147" s="29"/>
      <c r="E147" s="30"/>
      <c r="F147" s="48">
        <f>D147*E147</f>
        <v>0</v>
      </c>
      <c r="G147" s="295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si="1"/>
        <v>0</v>
      </c>
      <c r="T147" s="231">
        <f t="shared" si="2"/>
        <v>0</v>
      </c>
      <c r="U147" s="225">
        <f t="shared" si="3"/>
        <v>0</v>
      </c>
      <c r="V147" s="225">
        <f t="shared" si="4"/>
        <v>0</v>
      </c>
      <c r="W147" s="231">
        <f t="shared" si="5"/>
        <v>0</v>
      </c>
      <c r="X147" s="231"/>
    </row>
    <row r="148" spans="1:24" hidden="1" x14ac:dyDescent="0.25">
      <c r="A148" s="148" t="s">
        <v>231</v>
      </c>
      <c r="B148" s="106" t="s">
        <v>285</v>
      </c>
      <c r="C148" s="28"/>
      <c r="D148" s="29"/>
      <c r="E148" s="30"/>
      <c r="F148" s="48">
        <f>D148*E148</f>
        <v>0</v>
      </c>
      <c r="G148" s="295">
        <f>F148*C4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ref="S148:S213" si="9">R148-F148</f>
        <v>0</v>
      </c>
      <c r="T148" s="231">
        <f t="shared" ref="T148:T213" si="10">IF(F148=0,0,S148/F148)</f>
        <v>0</v>
      </c>
      <c r="U148" s="225">
        <f t="shared" ref="U148:U213" si="11">R148*$C$4</f>
        <v>0</v>
      </c>
      <c r="V148" s="225">
        <f t="shared" ref="V148:V213" si="12">U148-G148</f>
        <v>0</v>
      </c>
      <c r="W148" s="231">
        <f t="shared" ref="W148:W213" si="13">IF(G148=0,0,V148/G148)</f>
        <v>0</v>
      </c>
      <c r="X148" s="231"/>
    </row>
    <row r="149" spans="1:24" hidden="1" x14ac:dyDescent="0.25">
      <c r="A149" s="148" t="s">
        <v>232</v>
      </c>
      <c r="B149" s="106" t="s">
        <v>286</v>
      </c>
      <c r="C149" s="28"/>
      <c r="D149" s="29"/>
      <c r="E149" s="30"/>
      <c r="F149" s="48">
        <f>D149*E149</f>
        <v>0</v>
      </c>
      <c r="G149" s="295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9"/>
        <v>0</v>
      </c>
      <c r="T149" s="231">
        <f t="shared" si="10"/>
        <v>0</v>
      </c>
      <c r="U149" s="225">
        <f t="shared" si="11"/>
        <v>0</v>
      </c>
      <c r="V149" s="225">
        <f t="shared" si="12"/>
        <v>0</v>
      </c>
      <c r="W149" s="231">
        <f t="shared" si="13"/>
        <v>0</v>
      </c>
      <c r="X149" s="231"/>
    </row>
    <row r="150" spans="1:24" hidden="1" x14ac:dyDescent="0.25">
      <c r="A150" s="148" t="s">
        <v>233</v>
      </c>
      <c r="B150" s="106" t="s">
        <v>287</v>
      </c>
      <c r="C150" s="28"/>
      <c r="D150" s="29"/>
      <c r="E150" s="30"/>
      <c r="F150" s="48">
        <f>D150*E150</f>
        <v>0</v>
      </c>
      <c r="G150" s="295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9"/>
        <v>0</v>
      </c>
      <c r="T150" s="231">
        <f t="shared" si="10"/>
        <v>0</v>
      </c>
      <c r="U150" s="225">
        <f t="shared" si="11"/>
        <v>0</v>
      </c>
      <c r="V150" s="225">
        <f t="shared" si="12"/>
        <v>0</v>
      </c>
      <c r="W150" s="231">
        <f t="shared" si="13"/>
        <v>0</v>
      </c>
      <c r="X150" s="231"/>
    </row>
    <row r="151" spans="1:24" hidden="1" x14ac:dyDescent="0.25">
      <c r="A151" s="148" t="s">
        <v>234</v>
      </c>
      <c r="B151" s="106" t="s">
        <v>288</v>
      </c>
      <c r="C151" s="28"/>
      <c r="D151" s="29"/>
      <c r="E151" s="30"/>
      <c r="F151" s="48">
        <f>D151*E151</f>
        <v>0</v>
      </c>
      <c r="G151" s="295">
        <f>F151*C4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25">
        <f t="shared" si="9"/>
        <v>0</v>
      </c>
      <c r="T151" s="231">
        <f t="shared" si="10"/>
        <v>0</v>
      </c>
      <c r="U151" s="225">
        <f t="shared" si="11"/>
        <v>0</v>
      </c>
      <c r="V151" s="225">
        <f t="shared" si="12"/>
        <v>0</v>
      </c>
      <c r="W151" s="231">
        <f t="shared" si="13"/>
        <v>0</v>
      </c>
      <c r="X151" s="231"/>
    </row>
    <row r="152" spans="1:24" hidden="1" x14ac:dyDescent="0.25">
      <c r="A152" s="220" t="s">
        <v>102</v>
      </c>
      <c r="B152" s="221" t="s">
        <v>295</v>
      </c>
      <c r="C152" s="210"/>
      <c r="D152" s="211"/>
      <c r="E152" s="212"/>
      <c r="F152" s="208">
        <f>SUM(F153:F157)</f>
        <v>0</v>
      </c>
      <c r="G152" s="315">
        <f>SUM(G153:G157)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39">
        <f t="shared" si="9"/>
        <v>0</v>
      </c>
      <c r="T152" s="240">
        <f t="shared" si="10"/>
        <v>0</v>
      </c>
      <c r="U152" s="239">
        <f t="shared" si="11"/>
        <v>0</v>
      </c>
      <c r="V152" s="239">
        <f t="shared" si="12"/>
        <v>0</v>
      </c>
      <c r="W152" s="240">
        <f t="shared" si="13"/>
        <v>0</v>
      </c>
      <c r="X152" s="240"/>
    </row>
    <row r="153" spans="1:24" hidden="1" x14ac:dyDescent="0.25">
      <c r="A153" s="153" t="s">
        <v>235</v>
      </c>
      <c r="B153" s="106" t="s">
        <v>298</v>
      </c>
      <c r="C153" s="28"/>
      <c r="D153" s="29"/>
      <c r="E153" s="30"/>
      <c r="F153" s="48">
        <f>D153*E153</f>
        <v>0</v>
      </c>
      <c r="G153" s="295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9"/>
        <v>0</v>
      </c>
      <c r="T153" s="231">
        <f t="shared" si="10"/>
        <v>0</v>
      </c>
      <c r="U153" s="225">
        <f t="shared" si="11"/>
        <v>0</v>
      </c>
      <c r="V153" s="225">
        <f t="shared" si="12"/>
        <v>0</v>
      </c>
      <c r="W153" s="231">
        <f t="shared" si="13"/>
        <v>0</v>
      </c>
      <c r="X153" s="231"/>
    </row>
    <row r="154" spans="1:24" hidden="1" x14ac:dyDescent="0.25">
      <c r="A154" s="153" t="s">
        <v>236</v>
      </c>
      <c r="B154" s="106" t="s">
        <v>299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9"/>
        <v>0</v>
      </c>
      <c r="T154" s="231">
        <f t="shared" si="10"/>
        <v>0</v>
      </c>
      <c r="U154" s="225">
        <f t="shared" si="11"/>
        <v>0</v>
      </c>
      <c r="V154" s="225">
        <f t="shared" si="12"/>
        <v>0</v>
      </c>
      <c r="W154" s="231">
        <f t="shared" si="13"/>
        <v>0</v>
      </c>
      <c r="X154" s="231"/>
    </row>
    <row r="155" spans="1:24" hidden="1" x14ac:dyDescent="0.25">
      <c r="A155" s="153" t="s">
        <v>237</v>
      </c>
      <c r="B155" s="106" t="s">
        <v>300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9"/>
        <v>0</v>
      </c>
      <c r="T155" s="231">
        <f t="shared" si="10"/>
        <v>0</v>
      </c>
      <c r="U155" s="225">
        <f t="shared" si="11"/>
        <v>0</v>
      </c>
      <c r="V155" s="225">
        <f t="shared" si="12"/>
        <v>0</v>
      </c>
      <c r="W155" s="231">
        <f t="shared" si="13"/>
        <v>0</v>
      </c>
      <c r="X155" s="231"/>
    </row>
    <row r="156" spans="1:24" hidden="1" x14ac:dyDescent="0.25">
      <c r="A156" s="153" t="s">
        <v>238</v>
      </c>
      <c r="B156" s="106" t="s">
        <v>301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9"/>
        <v>0</v>
      </c>
      <c r="T156" s="231">
        <f t="shared" si="10"/>
        <v>0</v>
      </c>
      <c r="U156" s="225">
        <f t="shared" si="11"/>
        <v>0</v>
      </c>
      <c r="V156" s="225">
        <f t="shared" si="12"/>
        <v>0</v>
      </c>
      <c r="W156" s="231">
        <f t="shared" si="13"/>
        <v>0</v>
      </c>
      <c r="X156" s="231"/>
    </row>
    <row r="157" spans="1:24" hidden="1" x14ac:dyDescent="0.25">
      <c r="A157" s="153" t="s">
        <v>239</v>
      </c>
      <c r="B157" s="106" t="s">
        <v>302</v>
      </c>
      <c r="C157" s="28"/>
      <c r="D157" s="29"/>
      <c r="E157" s="30"/>
      <c r="F157" s="48">
        <f>D157*E157</f>
        <v>0</v>
      </c>
      <c r="G157" s="295">
        <f>F157*C4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25">
        <f t="shared" si="9"/>
        <v>0</v>
      </c>
      <c r="T157" s="231">
        <f t="shared" si="10"/>
        <v>0</v>
      </c>
      <c r="U157" s="225">
        <f t="shared" si="11"/>
        <v>0</v>
      </c>
      <c r="V157" s="225">
        <f t="shared" si="12"/>
        <v>0</v>
      </c>
      <c r="W157" s="231">
        <f t="shared" si="13"/>
        <v>0</v>
      </c>
      <c r="X157" s="231"/>
    </row>
    <row r="158" spans="1:24" hidden="1" x14ac:dyDescent="0.25">
      <c r="A158" s="220" t="s">
        <v>103</v>
      </c>
      <c r="B158" s="221" t="s">
        <v>308</v>
      </c>
      <c r="C158" s="210"/>
      <c r="D158" s="211"/>
      <c r="E158" s="212"/>
      <c r="F158" s="208">
        <f>SUM(F159:F163)</f>
        <v>0</v>
      </c>
      <c r="G158" s="315">
        <f>SUM(G159:G163)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39">
        <f t="shared" si="9"/>
        <v>0</v>
      </c>
      <c r="T158" s="240">
        <f t="shared" si="10"/>
        <v>0</v>
      </c>
      <c r="U158" s="239">
        <f t="shared" si="11"/>
        <v>0</v>
      </c>
      <c r="V158" s="239">
        <f t="shared" si="12"/>
        <v>0</v>
      </c>
      <c r="W158" s="240">
        <f t="shared" si="13"/>
        <v>0</v>
      </c>
      <c r="X158" s="240"/>
    </row>
    <row r="159" spans="1:24" hidden="1" x14ac:dyDescent="0.25">
      <c r="A159" s="148" t="s">
        <v>240</v>
      </c>
      <c r="B159" s="106" t="s">
        <v>297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9"/>
        <v>0</v>
      </c>
      <c r="T159" s="231">
        <f t="shared" si="10"/>
        <v>0</v>
      </c>
      <c r="U159" s="225">
        <f t="shared" si="11"/>
        <v>0</v>
      </c>
      <c r="V159" s="225">
        <f t="shared" si="12"/>
        <v>0</v>
      </c>
      <c r="W159" s="231">
        <f t="shared" si="13"/>
        <v>0</v>
      </c>
      <c r="X159" s="231"/>
    </row>
    <row r="160" spans="1:24" hidden="1" x14ac:dyDescent="0.25">
      <c r="A160" s="148" t="s">
        <v>241</v>
      </c>
      <c r="B160" s="106" t="s">
        <v>303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9"/>
        <v>0</v>
      </c>
      <c r="T160" s="231">
        <f t="shared" si="10"/>
        <v>0</v>
      </c>
      <c r="U160" s="225">
        <f t="shared" si="11"/>
        <v>0</v>
      </c>
      <c r="V160" s="225">
        <f t="shared" si="12"/>
        <v>0</v>
      </c>
      <c r="W160" s="231">
        <f t="shared" si="13"/>
        <v>0</v>
      </c>
      <c r="X160" s="231"/>
    </row>
    <row r="161" spans="1:24" hidden="1" x14ac:dyDescent="0.25">
      <c r="A161" s="148" t="s">
        <v>242</v>
      </c>
      <c r="B161" s="106" t="s">
        <v>304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9"/>
        <v>0</v>
      </c>
      <c r="T161" s="231">
        <f t="shared" si="10"/>
        <v>0</v>
      </c>
      <c r="U161" s="225">
        <f t="shared" si="11"/>
        <v>0</v>
      </c>
      <c r="V161" s="225">
        <f t="shared" si="12"/>
        <v>0</v>
      </c>
      <c r="W161" s="231">
        <f t="shared" si="13"/>
        <v>0</v>
      </c>
      <c r="X161" s="231"/>
    </row>
    <row r="162" spans="1:24" hidden="1" x14ac:dyDescent="0.25">
      <c r="A162" s="148" t="s">
        <v>243</v>
      </c>
      <c r="B162" s="106" t="s">
        <v>305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9"/>
        <v>0</v>
      </c>
      <c r="T162" s="231">
        <f t="shared" si="10"/>
        <v>0</v>
      </c>
      <c r="U162" s="225">
        <f t="shared" si="11"/>
        <v>0</v>
      </c>
      <c r="V162" s="225">
        <f t="shared" si="12"/>
        <v>0</v>
      </c>
      <c r="W162" s="231">
        <f t="shared" si="13"/>
        <v>0</v>
      </c>
      <c r="X162" s="231"/>
    </row>
    <row r="163" spans="1:24" hidden="1" x14ac:dyDescent="0.25">
      <c r="A163" s="148" t="s">
        <v>244</v>
      </c>
      <c r="B163" s="106" t="s">
        <v>306</v>
      </c>
      <c r="C163" s="28"/>
      <c r="D163" s="29"/>
      <c r="E163" s="30"/>
      <c r="F163" s="48">
        <f>D163*E163</f>
        <v>0</v>
      </c>
      <c r="G163" s="295">
        <f>F163*C4</f>
        <v>0</v>
      </c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62"/>
      <c r="S163" s="225">
        <f t="shared" si="9"/>
        <v>0</v>
      </c>
      <c r="T163" s="231">
        <f t="shared" si="10"/>
        <v>0</v>
      </c>
      <c r="U163" s="225">
        <f t="shared" si="11"/>
        <v>0</v>
      </c>
      <c r="V163" s="225">
        <f t="shared" si="12"/>
        <v>0</v>
      </c>
      <c r="W163" s="231">
        <f t="shared" si="13"/>
        <v>0</v>
      </c>
      <c r="X163" s="231"/>
    </row>
    <row r="164" spans="1:24" x14ac:dyDescent="0.25">
      <c r="B164" s="149"/>
      <c r="C164" s="31"/>
      <c r="D164" s="32"/>
      <c r="E164" s="33"/>
      <c r="F164" s="48"/>
      <c r="H164" s="242"/>
      <c r="I164" s="242"/>
      <c r="J164" s="242"/>
      <c r="K164" s="242"/>
      <c r="L164" s="242"/>
      <c r="M164" s="242"/>
      <c r="N164" s="242"/>
      <c r="O164" s="242"/>
      <c r="P164" s="242"/>
      <c r="Q164" s="251"/>
      <c r="R164" s="257"/>
      <c r="S164" s="225"/>
      <c r="T164" s="231"/>
      <c r="U164" s="225"/>
      <c r="V164" s="225"/>
      <c r="W164" s="231"/>
      <c r="X164" s="231"/>
    </row>
    <row r="165" spans="1:24" ht="13.8" thickBot="1" x14ac:dyDescent="0.3">
      <c r="A165" s="99"/>
      <c r="B165" s="146" t="s">
        <v>124</v>
      </c>
      <c r="C165" s="118"/>
      <c r="D165" s="122"/>
      <c r="E165" s="123"/>
      <c r="F165" s="50">
        <f>SUM(F103+F109+F116+F122+F128+F134+F140+F146+F152+F158)</f>
        <v>504000000</v>
      </c>
      <c r="G165" s="50">
        <f>SUM(G103+G109+G116+G122+G128+G134+G140+G146+G152+G158)</f>
        <v>336000.00000000012</v>
      </c>
      <c r="H165" s="244"/>
      <c r="I165" s="244"/>
      <c r="J165" s="244"/>
      <c r="K165" s="244"/>
      <c r="L165" s="244"/>
      <c r="M165" s="244"/>
      <c r="N165" s="244"/>
      <c r="O165" s="244"/>
      <c r="P165" s="244"/>
      <c r="Q165" s="253"/>
      <c r="R165" s="263"/>
      <c r="S165" s="237">
        <f t="shared" si="9"/>
        <v>-504000000</v>
      </c>
      <c r="T165" s="238">
        <f t="shared" si="10"/>
        <v>-1</v>
      </c>
      <c r="U165" s="237">
        <f t="shared" si="11"/>
        <v>0</v>
      </c>
      <c r="V165" s="237">
        <f t="shared" si="12"/>
        <v>-336000.00000000012</v>
      </c>
      <c r="W165" s="238">
        <f t="shared" si="13"/>
        <v>-1</v>
      </c>
      <c r="X165" s="238"/>
    </row>
    <row r="166" spans="1:24" ht="13.8" thickTop="1" x14ac:dyDescent="0.25">
      <c r="C166" s="80"/>
      <c r="D166" s="71"/>
      <c r="E166" s="72"/>
      <c r="G166" s="48"/>
      <c r="H166" s="245"/>
      <c r="I166" s="245"/>
      <c r="J166" s="245"/>
      <c r="K166" s="245"/>
      <c r="L166" s="245"/>
      <c r="M166" s="245"/>
      <c r="N166" s="245"/>
      <c r="O166" s="245"/>
      <c r="P166" s="245"/>
      <c r="Q166" s="254"/>
      <c r="R166" s="261"/>
      <c r="S166" s="225"/>
      <c r="T166" s="231"/>
      <c r="U166" s="225"/>
      <c r="V166" s="225"/>
      <c r="W166" s="231"/>
      <c r="X166" s="231"/>
    </row>
    <row r="167" spans="1:24" x14ac:dyDescent="0.25">
      <c r="A167" s="125">
        <v>3</v>
      </c>
      <c r="B167" s="126" t="s">
        <v>127</v>
      </c>
      <c r="C167" s="130"/>
      <c r="D167" s="129"/>
      <c r="E167" s="131"/>
      <c r="F167" s="131"/>
      <c r="G167" s="147"/>
      <c r="H167" s="241"/>
      <c r="I167" s="241"/>
      <c r="J167" s="241"/>
      <c r="K167" s="241"/>
      <c r="L167" s="241"/>
      <c r="M167" s="241"/>
      <c r="N167" s="241"/>
      <c r="O167" s="241"/>
      <c r="P167" s="241"/>
      <c r="Q167" s="252"/>
      <c r="R167" s="260"/>
      <c r="S167" s="230"/>
      <c r="T167" s="232"/>
      <c r="U167" s="230"/>
      <c r="V167" s="230"/>
      <c r="W167" s="232"/>
      <c r="X167" s="232"/>
    </row>
    <row r="168" spans="1:24" hidden="1" x14ac:dyDescent="0.25">
      <c r="A168" s="157" t="s">
        <v>132</v>
      </c>
      <c r="B168" s="140" t="s">
        <v>110</v>
      </c>
      <c r="C168" s="21"/>
      <c r="D168" s="25"/>
      <c r="E168" s="18"/>
      <c r="F168" s="3">
        <f>D168*E168</f>
        <v>0</v>
      </c>
      <c r="G168" s="51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9"/>
        <v>0</v>
      </c>
      <c r="T168" s="231">
        <f t="shared" si="10"/>
        <v>0</v>
      </c>
      <c r="U168" s="225">
        <f t="shared" si="11"/>
        <v>0</v>
      </c>
      <c r="V168" s="225">
        <f t="shared" si="12"/>
        <v>0</v>
      </c>
      <c r="W168" s="231">
        <f t="shared" si="13"/>
        <v>0</v>
      </c>
      <c r="X168" s="231"/>
    </row>
    <row r="169" spans="1:24" hidden="1" x14ac:dyDescent="0.25">
      <c r="A169" s="157" t="s">
        <v>133</v>
      </c>
      <c r="B169" s="140" t="s">
        <v>48</v>
      </c>
      <c r="C169" s="21"/>
      <c r="D169" s="25"/>
      <c r="E169" s="18"/>
      <c r="F169" s="3">
        <f t="shared" ref="F169:F177" si="14">D169*E169</f>
        <v>0</v>
      </c>
      <c r="G169" s="51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9"/>
        <v>0</v>
      </c>
      <c r="T169" s="231">
        <f t="shared" si="10"/>
        <v>0</v>
      </c>
      <c r="U169" s="225">
        <f t="shared" si="11"/>
        <v>0</v>
      </c>
      <c r="V169" s="225">
        <f t="shared" si="12"/>
        <v>0</v>
      </c>
      <c r="W169" s="231">
        <f t="shared" si="13"/>
        <v>0</v>
      </c>
      <c r="X169" s="231"/>
    </row>
    <row r="170" spans="1:24" hidden="1" x14ac:dyDescent="0.25">
      <c r="A170" s="157" t="s">
        <v>134</v>
      </c>
      <c r="B170" s="140" t="s">
        <v>106</v>
      </c>
      <c r="C170" s="34"/>
      <c r="D170" s="35"/>
      <c r="E170" s="36"/>
      <c r="F170" s="3">
        <f t="shared" si="14"/>
        <v>0</v>
      </c>
      <c r="G170" s="51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9"/>
        <v>0</v>
      </c>
      <c r="T170" s="231">
        <f t="shared" si="10"/>
        <v>0</v>
      </c>
      <c r="U170" s="225">
        <f t="shared" si="11"/>
        <v>0</v>
      </c>
      <c r="V170" s="225">
        <f t="shared" si="12"/>
        <v>0</v>
      </c>
      <c r="W170" s="231">
        <f t="shared" si="13"/>
        <v>0</v>
      </c>
      <c r="X170" s="231"/>
    </row>
    <row r="171" spans="1:24" hidden="1" x14ac:dyDescent="0.25">
      <c r="A171" s="157" t="s">
        <v>135</v>
      </c>
      <c r="B171" s="140" t="s">
        <v>140</v>
      </c>
      <c r="C171" s="34"/>
      <c r="D171" s="35"/>
      <c r="E171" s="36"/>
      <c r="F171" s="3">
        <f t="shared" si="14"/>
        <v>0</v>
      </c>
      <c r="G171" s="51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9"/>
        <v>0</v>
      </c>
      <c r="T171" s="231">
        <f t="shared" si="10"/>
        <v>0</v>
      </c>
      <c r="U171" s="225">
        <f t="shared" si="11"/>
        <v>0</v>
      </c>
      <c r="V171" s="225">
        <f t="shared" si="12"/>
        <v>0</v>
      </c>
      <c r="W171" s="231">
        <f t="shared" si="13"/>
        <v>0</v>
      </c>
      <c r="X171" s="231"/>
    </row>
    <row r="172" spans="1:24" ht="15" hidden="1" customHeight="1" x14ac:dyDescent="0.25">
      <c r="A172" s="157" t="s">
        <v>136</v>
      </c>
      <c r="B172" s="140" t="s">
        <v>141</v>
      </c>
      <c r="C172" s="34"/>
      <c r="D172" s="35"/>
      <c r="E172" s="36"/>
      <c r="F172" s="3">
        <f t="shared" si="14"/>
        <v>0</v>
      </c>
      <c r="G172" s="51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9"/>
        <v>0</v>
      </c>
      <c r="T172" s="231">
        <f t="shared" si="10"/>
        <v>0</v>
      </c>
      <c r="U172" s="225">
        <f t="shared" si="11"/>
        <v>0</v>
      </c>
      <c r="V172" s="225">
        <f t="shared" si="12"/>
        <v>0</v>
      </c>
      <c r="W172" s="231">
        <f t="shared" si="13"/>
        <v>0</v>
      </c>
      <c r="X172" s="231"/>
    </row>
    <row r="173" spans="1:24" ht="15" hidden="1" customHeight="1" x14ac:dyDescent="0.25">
      <c r="A173" s="157" t="s">
        <v>137</v>
      </c>
      <c r="B173" s="140" t="s">
        <v>246</v>
      </c>
      <c r="C173" s="34"/>
      <c r="D173" s="35"/>
      <c r="E173" s="36"/>
      <c r="F173" s="3">
        <f>D173*E173</f>
        <v>0</v>
      </c>
      <c r="G173" s="51">
        <f>F173*C4</f>
        <v>0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9"/>
        <v>0</v>
      </c>
      <c r="T173" s="231">
        <f t="shared" si="10"/>
        <v>0</v>
      </c>
      <c r="U173" s="225">
        <f t="shared" si="11"/>
        <v>0</v>
      </c>
      <c r="V173" s="225">
        <f t="shared" si="12"/>
        <v>0</v>
      </c>
      <c r="W173" s="231">
        <f t="shared" si="13"/>
        <v>0</v>
      </c>
      <c r="X173" s="231"/>
    </row>
    <row r="174" spans="1:24" x14ac:dyDescent="0.25">
      <c r="A174" s="157" t="s">
        <v>138</v>
      </c>
      <c r="B174" s="140" t="s">
        <v>139</v>
      </c>
      <c r="C174" s="28" t="s">
        <v>392</v>
      </c>
      <c r="D174" s="25">
        <v>12</v>
      </c>
      <c r="E174" s="25">
        <v>562500</v>
      </c>
      <c r="F174" s="3">
        <f t="shared" si="14"/>
        <v>6750000</v>
      </c>
      <c r="G174" s="51">
        <f>F174*C4</f>
        <v>4500.0000000000018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9"/>
        <v>-6750000</v>
      </c>
      <c r="T174" s="231">
        <f t="shared" si="10"/>
        <v>-1</v>
      </c>
      <c r="U174" s="225">
        <f t="shared" si="11"/>
        <v>0</v>
      </c>
      <c r="V174" s="225">
        <f t="shared" si="12"/>
        <v>-4500.0000000000018</v>
      </c>
      <c r="W174" s="231">
        <f t="shared" si="13"/>
        <v>-1</v>
      </c>
      <c r="X174" s="231"/>
    </row>
    <row r="175" spans="1:24" x14ac:dyDescent="0.25">
      <c r="A175" s="157" t="s">
        <v>245</v>
      </c>
      <c r="B175" s="140" t="s">
        <v>165</v>
      </c>
      <c r="C175" s="28" t="s">
        <v>618</v>
      </c>
      <c r="D175" s="25">
        <v>1</v>
      </c>
      <c r="E175" s="25">
        <v>6000000</v>
      </c>
      <c r="F175" s="3">
        <f t="shared" si="14"/>
        <v>6000000</v>
      </c>
      <c r="G175" s="51">
        <f>F175*$C$4</f>
        <v>4000.0000000000018</v>
      </c>
      <c r="H175" s="242"/>
      <c r="I175" s="242"/>
      <c r="J175" s="242"/>
      <c r="K175" s="242"/>
      <c r="L175" s="242"/>
      <c r="M175" s="242"/>
      <c r="N175" s="242"/>
      <c r="O175" s="242"/>
      <c r="P175" s="242"/>
      <c r="Q175" s="251"/>
      <c r="R175" s="262"/>
      <c r="S175" s="225">
        <f t="shared" si="9"/>
        <v>-6000000</v>
      </c>
      <c r="T175" s="231">
        <f t="shared" si="10"/>
        <v>-1</v>
      </c>
      <c r="U175" s="225">
        <f t="shared" si="11"/>
        <v>0</v>
      </c>
      <c r="V175" s="225">
        <f t="shared" si="12"/>
        <v>-4000.0000000000018</v>
      </c>
      <c r="W175" s="231">
        <f t="shared" si="13"/>
        <v>-1</v>
      </c>
      <c r="X175" s="231"/>
    </row>
    <row r="176" spans="1:24" x14ac:dyDescent="0.25">
      <c r="A176" s="157" t="s">
        <v>561</v>
      </c>
      <c r="B176" s="140" t="s">
        <v>770</v>
      </c>
      <c r="C176" s="28" t="s">
        <v>618</v>
      </c>
      <c r="D176" s="25">
        <v>1</v>
      </c>
      <c r="E176" s="25">
        <v>3000000</v>
      </c>
      <c r="F176" s="3">
        <f t="shared" si="14"/>
        <v>3000000</v>
      </c>
      <c r="G176" s="51">
        <f>F176*$C$4</f>
        <v>2000.0000000000009</v>
      </c>
      <c r="H176" s="242"/>
      <c r="I176" s="242"/>
      <c r="J176" s="242"/>
      <c r="K176" s="242"/>
      <c r="L176" s="242"/>
      <c r="M176" s="242"/>
      <c r="N176" s="242"/>
      <c r="O176" s="242"/>
      <c r="P176" s="242"/>
      <c r="Q176" s="251"/>
      <c r="R176" s="262"/>
      <c r="S176" s="225"/>
      <c r="T176" s="231"/>
      <c r="U176" s="225"/>
      <c r="V176" s="225"/>
      <c r="W176" s="231"/>
      <c r="X176" s="231"/>
    </row>
    <row r="177" spans="1:24" x14ac:dyDescent="0.25">
      <c r="A177" s="157" t="s">
        <v>637</v>
      </c>
      <c r="B177" s="140" t="s">
        <v>638</v>
      </c>
      <c r="C177" s="28" t="s">
        <v>618</v>
      </c>
      <c r="D177" s="25">
        <v>1</v>
      </c>
      <c r="E177" s="25">
        <v>2250000</v>
      </c>
      <c r="F177" s="3">
        <f t="shared" si="14"/>
        <v>2250000</v>
      </c>
      <c r="G177" s="51">
        <f>F177*$C$4</f>
        <v>1500.0000000000007</v>
      </c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62"/>
      <c r="S177" s="225"/>
      <c r="T177" s="231"/>
      <c r="U177" s="225"/>
      <c r="V177" s="225"/>
      <c r="W177" s="231"/>
      <c r="X177" s="231"/>
    </row>
    <row r="178" spans="1:24" x14ac:dyDescent="0.25">
      <c r="B178" s="109"/>
      <c r="C178" s="9"/>
      <c r="D178" s="6"/>
      <c r="E178" s="7"/>
      <c r="G178" s="48"/>
      <c r="H178" s="245"/>
      <c r="I178" s="245"/>
      <c r="J178" s="245"/>
      <c r="K178" s="245"/>
      <c r="L178" s="245"/>
      <c r="M178" s="245"/>
      <c r="N178" s="245"/>
      <c r="O178" s="245"/>
      <c r="P178" s="245"/>
      <c r="Q178" s="254"/>
      <c r="R178" s="261"/>
      <c r="S178" s="225"/>
      <c r="T178" s="231"/>
      <c r="U178" s="225"/>
      <c r="V178" s="225"/>
      <c r="W178" s="231"/>
      <c r="X178" s="231"/>
    </row>
    <row r="179" spans="1:24" ht="13.8" thickBot="1" x14ac:dyDescent="0.3">
      <c r="A179" s="99"/>
      <c r="B179" s="146" t="s">
        <v>108</v>
      </c>
      <c r="C179" s="118"/>
      <c r="D179" s="122"/>
      <c r="E179" s="123"/>
      <c r="F179" s="50">
        <f>SUM(F168:F177)</f>
        <v>18000000</v>
      </c>
      <c r="G179" s="50">
        <f>SUM(G168:G177)</f>
        <v>12000.000000000004</v>
      </c>
      <c r="H179" s="244"/>
      <c r="I179" s="244"/>
      <c r="J179" s="244"/>
      <c r="K179" s="244"/>
      <c r="L179" s="244"/>
      <c r="M179" s="244"/>
      <c r="N179" s="244"/>
      <c r="O179" s="244"/>
      <c r="P179" s="244"/>
      <c r="Q179" s="253"/>
      <c r="R179" s="263"/>
      <c r="S179" s="237">
        <f t="shared" si="9"/>
        <v>-18000000</v>
      </c>
      <c r="T179" s="238">
        <f t="shared" si="10"/>
        <v>-1</v>
      </c>
      <c r="U179" s="237">
        <f t="shared" si="11"/>
        <v>0</v>
      </c>
      <c r="V179" s="237">
        <f t="shared" si="12"/>
        <v>-12000.000000000004</v>
      </c>
      <c r="W179" s="238">
        <f t="shared" si="13"/>
        <v>-1</v>
      </c>
      <c r="X179" s="238"/>
    </row>
    <row r="180" spans="1:24" ht="13.8" thickTop="1" x14ac:dyDescent="0.25">
      <c r="B180" s="77"/>
      <c r="C180" s="162"/>
      <c r="D180" s="161"/>
      <c r="E180" s="74"/>
      <c r="F180" s="48"/>
      <c r="G180" s="1"/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57"/>
      <c r="S180" s="225"/>
      <c r="T180" s="231"/>
      <c r="U180" s="225"/>
      <c r="V180" s="225"/>
      <c r="W180" s="231"/>
      <c r="X180" s="231"/>
    </row>
    <row r="181" spans="1:24" x14ac:dyDescent="0.25">
      <c r="A181" s="125">
        <v>4</v>
      </c>
      <c r="B181" s="126" t="s">
        <v>107</v>
      </c>
      <c r="C181" s="130"/>
      <c r="D181" s="129"/>
      <c r="E181" s="131"/>
      <c r="F181" s="131"/>
      <c r="G181" s="147"/>
      <c r="H181" s="241"/>
      <c r="I181" s="241"/>
      <c r="J181" s="241"/>
      <c r="K181" s="241"/>
      <c r="L181" s="241"/>
      <c r="M181" s="241"/>
      <c r="N181" s="241"/>
      <c r="O181" s="241"/>
      <c r="P181" s="241"/>
      <c r="Q181" s="252"/>
      <c r="R181" s="260"/>
      <c r="S181" s="230"/>
      <c r="T181" s="232"/>
      <c r="U181" s="230"/>
      <c r="V181" s="230"/>
      <c r="W181" s="232"/>
      <c r="X181" s="232"/>
    </row>
    <row r="182" spans="1:24" x14ac:dyDescent="0.25">
      <c r="A182" s="70" t="s">
        <v>19</v>
      </c>
      <c r="B182" s="77"/>
      <c r="C182" s="162"/>
      <c r="D182" s="161"/>
      <c r="E182" s="74"/>
      <c r="F182" s="48"/>
      <c r="G182" s="1"/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57"/>
      <c r="S182" s="225"/>
      <c r="T182" s="231"/>
      <c r="U182" s="225"/>
      <c r="V182" s="225"/>
      <c r="W182" s="231"/>
      <c r="X182" s="231"/>
    </row>
    <row r="183" spans="1:24" x14ac:dyDescent="0.25">
      <c r="A183" s="77" t="s">
        <v>142</v>
      </c>
      <c r="B183" s="163" t="s">
        <v>44</v>
      </c>
      <c r="C183" s="28" t="s">
        <v>392</v>
      </c>
      <c r="D183" s="25">
        <v>6</v>
      </c>
      <c r="E183" s="18">
        <v>1800000</v>
      </c>
      <c r="F183" s="48">
        <f>D183*E183</f>
        <v>10800000</v>
      </c>
      <c r="G183" s="1">
        <f>F183*C4</f>
        <v>7200.0000000000036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9"/>
        <v>-10800000</v>
      </c>
      <c r="T183" s="231">
        <f t="shared" si="10"/>
        <v>-1</v>
      </c>
      <c r="U183" s="225">
        <f t="shared" si="11"/>
        <v>0</v>
      </c>
      <c r="V183" s="225">
        <f t="shared" si="12"/>
        <v>-7200.0000000000036</v>
      </c>
      <c r="W183" s="231">
        <f t="shared" si="13"/>
        <v>-1</v>
      </c>
      <c r="X183" s="231"/>
    </row>
    <row r="184" spans="1:24" hidden="1" x14ac:dyDescent="0.25">
      <c r="A184" s="77" t="s">
        <v>143</v>
      </c>
      <c r="B184" s="163" t="s">
        <v>45</v>
      </c>
      <c r="C184" s="21"/>
      <c r="D184" s="25"/>
      <c r="E184" s="18"/>
      <c r="F184" s="48">
        <f>D184*E184</f>
        <v>0</v>
      </c>
      <c r="G184" s="1">
        <f>F184*C4</f>
        <v>0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9"/>
        <v>0</v>
      </c>
      <c r="T184" s="231">
        <f t="shared" si="10"/>
        <v>0</v>
      </c>
      <c r="U184" s="225">
        <f t="shared" si="11"/>
        <v>0</v>
      </c>
      <c r="V184" s="225">
        <f t="shared" si="12"/>
        <v>0</v>
      </c>
      <c r="W184" s="231">
        <f t="shared" si="13"/>
        <v>0</v>
      </c>
      <c r="X184" s="231"/>
    </row>
    <row r="185" spans="1:24" x14ac:dyDescent="0.25">
      <c r="A185" s="70" t="s">
        <v>7</v>
      </c>
      <c r="B185" s="137"/>
      <c r="C185" s="22"/>
      <c r="D185" s="44"/>
      <c r="E185" s="1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x14ac:dyDescent="0.25">
      <c r="A186" s="77" t="s">
        <v>144</v>
      </c>
      <c r="B186" s="163" t="s">
        <v>46</v>
      </c>
      <c r="C186" s="28" t="s">
        <v>392</v>
      </c>
      <c r="D186" s="25">
        <v>12</v>
      </c>
      <c r="E186" s="18">
        <v>600000</v>
      </c>
      <c r="F186" s="48">
        <f>D186*E186</f>
        <v>7200000</v>
      </c>
      <c r="G186" s="49">
        <f>F186*C4</f>
        <v>4800.0000000000018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9"/>
        <v>-7200000</v>
      </c>
      <c r="T186" s="231">
        <f t="shared" si="10"/>
        <v>-1</v>
      </c>
      <c r="U186" s="225">
        <f t="shared" si="11"/>
        <v>0</v>
      </c>
      <c r="V186" s="225">
        <f t="shared" si="12"/>
        <v>-4800.0000000000018</v>
      </c>
      <c r="W186" s="231">
        <f t="shared" si="13"/>
        <v>-1</v>
      </c>
      <c r="X186" s="231"/>
    </row>
    <row r="187" spans="1:24" hidden="1" x14ac:dyDescent="0.25">
      <c r="A187" s="77" t="s">
        <v>145</v>
      </c>
      <c r="B187" s="137" t="s">
        <v>47</v>
      </c>
      <c r="C187" s="35"/>
      <c r="D187" s="36"/>
      <c r="E187" s="39"/>
      <c r="F187" s="48">
        <f>D187*E187</f>
        <v>0</v>
      </c>
      <c r="G187" s="49">
        <f>F187*C4</f>
        <v>0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9"/>
        <v>0</v>
      </c>
      <c r="T187" s="231">
        <f t="shared" si="10"/>
        <v>0</v>
      </c>
      <c r="U187" s="225">
        <f t="shared" si="11"/>
        <v>0</v>
      </c>
      <c r="V187" s="225">
        <f t="shared" si="12"/>
        <v>0</v>
      </c>
      <c r="W187" s="231">
        <f t="shared" si="13"/>
        <v>0</v>
      </c>
      <c r="X187" s="231"/>
    </row>
    <row r="188" spans="1:24" x14ac:dyDescent="0.25">
      <c r="A188" s="70" t="s">
        <v>8</v>
      </c>
      <c r="B188" s="137"/>
      <c r="C188" s="52"/>
      <c r="D188" s="23"/>
      <c r="E188" s="24"/>
      <c r="F188" s="48"/>
      <c r="G188" s="1"/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57"/>
      <c r="S188" s="225"/>
      <c r="T188" s="231"/>
      <c r="U188" s="225"/>
      <c r="V188" s="225"/>
      <c r="W188" s="231"/>
      <c r="X188" s="231"/>
    </row>
    <row r="189" spans="1:24" ht="26.4" x14ac:dyDescent="0.25">
      <c r="A189" s="77" t="s">
        <v>150</v>
      </c>
      <c r="B189" s="140" t="s">
        <v>619</v>
      </c>
      <c r="C189" s="28" t="s">
        <v>392</v>
      </c>
      <c r="D189" s="25">
        <v>12</v>
      </c>
      <c r="E189" s="18">
        <v>450000</v>
      </c>
      <c r="F189" s="48">
        <f>D189*E189</f>
        <v>5400000</v>
      </c>
      <c r="G189" s="1">
        <f>F189*C4</f>
        <v>3600.0000000000018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9"/>
        <v>-5400000</v>
      </c>
      <c r="T189" s="231">
        <f t="shared" si="10"/>
        <v>-1</v>
      </c>
      <c r="U189" s="225">
        <f t="shared" si="11"/>
        <v>0</v>
      </c>
      <c r="V189" s="225">
        <f t="shared" si="12"/>
        <v>-3600.0000000000018</v>
      </c>
      <c r="W189" s="231">
        <f t="shared" si="13"/>
        <v>-1</v>
      </c>
      <c r="X189" s="231"/>
    </row>
    <row r="190" spans="1:24" hidden="1" x14ac:dyDescent="0.25">
      <c r="A190" s="77" t="s">
        <v>146</v>
      </c>
      <c r="B190" s="149" t="s">
        <v>50</v>
      </c>
      <c r="C190" s="35"/>
      <c r="D190" s="36"/>
      <c r="E190" s="39"/>
      <c r="F190" s="48">
        <f>D190*E190</f>
        <v>0</v>
      </c>
      <c r="G190" s="1">
        <f>F190*C4</f>
        <v>0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9"/>
        <v>0</v>
      </c>
      <c r="T190" s="231">
        <f t="shared" si="10"/>
        <v>0</v>
      </c>
      <c r="U190" s="225">
        <f t="shared" si="11"/>
        <v>0</v>
      </c>
      <c r="V190" s="225">
        <f t="shared" si="12"/>
        <v>0</v>
      </c>
      <c r="W190" s="231">
        <f t="shared" si="13"/>
        <v>0</v>
      </c>
      <c r="X190" s="231"/>
    </row>
    <row r="191" spans="1:24" hidden="1" x14ac:dyDescent="0.25">
      <c r="A191" s="77" t="s">
        <v>147</v>
      </c>
      <c r="B191" s="149" t="s">
        <v>51</v>
      </c>
      <c r="C191" s="35"/>
      <c r="D191" s="36"/>
      <c r="E191" s="37"/>
      <c r="F191" s="48">
        <f>D191*E191</f>
        <v>0</v>
      </c>
      <c r="G191" s="1">
        <f>F191*C4</f>
        <v>0</v>
      </c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62"/>
      <c r="S191" s="225">
        <f t="shared" si="9"/>
        <v>0</v>
      </c>
      <c r="T191" s="231">
        <f t="shared" si="10"/>
        <v>0</v>
      </c>
      <c r="U191" s="225">
        <f t="shared" si="11"/>
        <v>0</v>
      </c>
      <c r="V191" s="225">
        <f t="shared" si="12"/>
        <v>0</v>
      </c>
      <c r="W191" s="231">
        <f t="shared" si="13"/>
        <v>0</v>
      </c>
      <c r="X191" s="231"/>
    </row>
    <row r="192" spans="1:24" hidden="1" x14ac:dyDescent="0.25">
      <c r="A192" s="77" t="s">
        <v>148</v>
      </c>
      <c r="B192" s="149" t="s">
        <v>125</v>
      </c>
      <c r="C192" s="35"/>
      <c r="D192" s="36"/>
      <c r="E192" s="38"/>
      <c r="F192" s="48">
        <f>D192*E192</f>
        <v>0</v>
      </c>
      <c r="G192" s="1">
        <f>F192*C4</f>
        <v>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62"/>
      <c r="S192" s="225">
        <f t="shared" si="9"/>
        <v>0</v>
      </c>
      <c r="T192" s="231">
        <f t="shared" si="10"/>
        <v>0</v>
      </c>
      <c r="U192" s="225">
        <f t="shared" si="11"/>
        <v>0</v>
      </c>
      <c r="V192" s="225">
        <f t="shared" si="12"/>
        <v>0</v>
      </c>
      <c r="W192" s="231">
        <f t="shared" si="13"/>
        <v>0</v>
      </c>
      <c r="X192" s="231"/>
    </row>
    <row r="193" spans="1:24" hidden="1" x14ac:dyDescent="0.25">
      <c r="A193" s="77" t="s">
        <v>149</v>
      </c>
      <c r="B193" s="149" t="s">
        <v>126</v>
      </c>
      <c r="C193" s="35"/>
      <c r="D193" s="36"/>
      <c r="E193" s="38"/>
      <c r="F193" s="48">
        <f>D193*E193</f>
        <v>0</v>
      </c>
      <c r="G193" s="1">
        <f>F193*C4</f>
        <v>0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62"/>
      <c r="S193" s="225">
        <f t="shared" si="9"/>
        <v>0</v>
      </c>
      <c r="T193" s="231">
        <f t="shared" si="10"/>
        <v>0</v>
      </c>
      <c r="U193" s="225">
        <f t="shared" si="11"/>
        <v>0</v>
      </c>
      <c r="V193" s="225">
        <f t="shared" si="12"/>
        <v>0</v>
      </c>
      <c r="W193" s="231">
        <f t="shared" si="13"/>
        <v>0</v>
      </c>
      <c r="X193" s="231"/>
    </row>
    <row r="194" spans="1:24" x14ac:dyDescent="0.25">
      <c r="C194" s="5"/>
      <c r="D194" s="5"/>
      <c r="E194" s="5"/>
      <c r="F194" s="168"/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/>
      <c r="T194" s="231"/>
      <c r="U194" s="225"/>
      <c r="V194" s="225"/>
      <c r="W194" s="231"/>
      <c r="X194" s="231"/>
    </row>
    <row r="195" spans="1:24" hidden="1" x14ac:dyDescent="0.25">
      <c r="A195" s="200"/>
      <c r="B195" s="201" t="s">
        <v>188</v>
      </c>
      <c r="C195" s="201"/>
      <c r="D195" s="201"/>
      <c r="E195" s="201"/>
      <c r="F195" s="202">
        <f>SUM(F183:F185)</f>
        <v>10800000</v>
      </c>
      <c r="G195" s="201">
        <f>SUM(G183:G185)</f>
        <v>7200.0000000000036</v>
      </c>
      <c r="H195" s="242"/>
      <c r="I195" s="242"/>
      <c r="J195" s="242"/>
      <c r="K195" s="242"/>
      <c r="L195" s="242"/>
      <c r="M195" s="242"/>
      <c r="N195" s="242"/>
      <c r="O195" s="242"/>
      <c r="P195" s="242"/>
      <c r="Q195" s="251"/>
      <c r="R195" s="257"/>
      <c r="S195" s="225">
        <f t="shared" si="9"/>
        <v>-10800000</v>
      </c>
      <c r="T195" s="231">
        <f t="shared" si="10"/>
        <v>-1</v>
      </c>
      <c r="U195" s="225">
        <f t="shared" si="11"/>
        <v>0</v>
      </c>
      <c r="V195" s="225">
        <f t="shared" si="12"/>
        <v>-7200.0000000000036</v>
      </c>
      <c r="W195" s="231">
        <f t="shared" si="13"/>
        <v>-1</v>
      </c>
      <c r="X195" s="231"/>
    </row>
    <row r="196" spans="1:24" hidden="1" x14ac:dyDescent="0.25">
      <c r="A196" s="200"/>
      <c r="B196" s="201" t="s">
        <v>7</v>
      </c>
      <c r="C196" s="201"/>
      <c r="D196" s="201"/>
      <c r="E196" s="201"/>
      <c r="F196" s="202">
        <f>SUM(F186:F188)</f>
        <v>7200000</v>
      </c>
      <c r="G196" s="201">
        <f>SUM(G186:G188)</f>
        <v>4800.0000000000018</v>
      </c>
      <c r="H196" s="242"/>
      <c r="I196" s="242"/>
      <c r="J196" s="242"/>
      <c r="K196" s="242"/>
      <c r="L196" s="242"/>
      <c r="M196" s="242"/>
      <c r="N196" s="242"/>
      <c r="O196" s="242"/>
      <c r="P196" s="242"/>
      <c r="Q196" s="251"/>
      <c r="R196" s="257"/>
      <c r="S196" s="225">
        <f t="shared" si="9"/>
        <v>-7200000</v>
      </c>
      <c r="T196" s="231">
        <f t="shared" si="10"/>
        <v>-1</v>
      </c>
      <c r="U196" s="225">
        <f t="shared" si="11"/>
        <v>0</v>
      </c>
      <c r="V196" s="225">
        <f t="shared" si="12"/>
        <v>-4800.0000000000018</v>
      </c>
      <c r="W196" s="231">
        <f t="shared" si="13"/>
        <v>-1</v>
      </c>
      <c r="X196" s="231"/>
    </row>
    <row r="197" spans="1:24" hidden="1" x14ac:dyDescent="0.25">
      <c r="A197" s="200"/>
      <c r="B197" s="201" t="s">
        <v>8</v>
      </c>
      <c r="C197" s="201"/>
      <c r="D197" s="201"/>
      <c r="E197" s="201"/>
      <c r="F197" s="202">
        <f>SUM(F189:F194)</f>
        <v>5400000</v>
      </c>
      <c r="G197" s="201">
        <f>SUM(G189:G194)</f>
        <v>3600.0000000000018</v>
      </c>
      <c r="H197" s="242"/>
      <c r="I197" s="242"/>
      <c r="J197" s="242"/>
      <c r="K197" s="242"/>
      <c r="L197" s="242"/>
      <c r="M197" s="242"/>
      <c r="N197" s="242"/>
      <c r="O197" s="242"/>
      <c r="P197" s="242"/>
      <c r="Q197" s="251"/>
      <c r="R197" s="257"/>
      <c r="S197" s="225">
        <f t="shared" si="9"/>
        <v>-5400000</v>
      </c>
      <c r="T197" s="231">
        <f t="shared" si="10"/>
        <v>-1</v>
      </c>
      <c r="U197" s="225">
        <f t="shared" si="11"/>
        <v>0</v>
      </c>
      <c r="V197" s="225">
        <f t="shared" si="12"/>
        <v>-3600.0000000000018</v>
      </c>
      <c r="W197" s="231">
        <f t="shared" si="13"/>
        <v>-1</v>
      </c>
      <c r="X197" s="231"/>
    </row>
    <row r="198" spans="1:24" ht="13.8" thickBot="1" x14ac:dyDescent="0.3">
      <c r="A198" s="99"/>
      <c r="B198" s="146" t="s">
        <v>109</v>
      </c>
      <c r="C198" s="118"/>
      <c r="D198" s="122"/>
      <c r="E198" s="123"/>
      <c r="F198" s="50">
        <f>SUM(F183+F184+F186+F187+F189+F190+F191+F192+F193)</f>
        <v>23400000</v>
      </c>
      <c r="G198" s="50">
        <f>SUM(G183+G184+G186+G187+G189+G191+G190+G192+G193)</f>
        <v>15600.000000000007</v>
      </c>
      <c r="H198" s="244"/>
      <c r="I198" s="244"/>
      <c r="J198" s="244"/>
      <c r="K198" s="244"/>
      <c r="L198" s="244"/>
      <c r="M198" s="244"/>
      <c r="N198" s="244"/>
      <c r="O198" s="244"/>
      <c r="P198" s="244"/>
      <c r="Q198" s="253"/>
      <c r="R198" s="263"/>
      <c r="S198" s="237">
        <f t="shared" si="9"/>
        <v>-23400000</v>
      </c>
      <c r="T198" s="238">
        <f t="shared" si="10"/>
        <v>-1</v>
      </c>
      <c r="U198" s="237">
        <f t="shared" si="11"/>
        <v>0</v>
      </c>
      <c r="V198" s="237">
        <f t="shared" si="12"/>
        <v>-15600.000000000007</v>
      </c>
      <c r="W198" s="238">
        <f t="shared" si="13"/>
        <v>-1</v>
      </c>
      <c r="X198" s="238"/>
    </row>
    <row r="199" spans="1:24" ht="13.8" thickTop="1" x14ac:dyDescent="0.25">
      <c r="A199" s="99"/>
      <c r="B199" s="146"/>
      <c r="C199" s="118"/>
      <c r="D199" s="122"/>
      <c r="E199" s="123"/>
      <c r="F199" s="169"/>
      <c r="G199" s="169"/>
      <c r="H199" s="244"/>
      <c r="I199" s="244"/>
      <c r="J199" s="244"/>
      <c r="K199" s="244"/>
      <c r="L199" s="244"/>
      <c r="M199" s="244"/>
      <c r="N199" s="244"/>
      <c r="O199" s="244"/>
      <c r="P199" s="244"/>
      <c r="Q199" s="253"/>
      <c r="R199" s="259"/>
      <c r="S199" s="225"/>
      <c r="T199" s="231"/>
      <c r="U199" s="225"/>
      <c r="V199" s="225"/>
      <c r="W199" s="231"/>
      <c r="X199" s="231"/>
    </row>
    <row r="200" spans="1:24" x14ac:dyDescent="0.25">
      <c r="A200" s="125">
        <v>5</v>
      </c>
      <c r="B200" s="126" t="s">
        <v>111</v>
      </c>
      <c r="C200" s="130"/>
      <c r="D200" s="129"/>
      <c r="E200" s="131"/>
      <c r="F200" s="131"/>
      <c r="G200" s="147"/>
      <c r="H200" s="241"/>
      <c r="I200" s="241">
        <f ca="1">+'DSPR Jordan'!F271+'DSPR Lebanon'!F257+'FCA Jordan'!F278+'FCA Syria'!F275+'IOCC Jordan'!F272+'IOCC Lebanon'!F268</f>
        <v>1688708021.8392844</v>
      </c>
      <c r="J200" s="241"/>
      <c r="K200" s="241"/>
      <c r="L200" s="241"/>
      <c r="M200" s="241"/>
      <c r="N200" s="241"/>
      <c r="O200" s="241"/>
      <c r="P200" s="241"/>
      <c r="Q200" s="252"/>
      <c r="R200" s="260"/>
      <c r="S200" s="230"/>
      <c r="T200" s="232"/>
      <c r="U200" s="230"/>
      <c r="V200" s="230"/>
      <c r="W200" s="232"/>
      <c r="X200" s="232"/>
    </row>
    <row r="201" spans="1:24" hidden="1" x14ac:dyDescent="0.25">
      <c r="A201" s="77" t="s">
        <v>151</v>
      </c>
      <c r="B201" s="163" t="s">
        <v>11</v>
      </c>
      <c r="C201" s="35"/>
      <c r="D201" s="36"/>
      <c r="E201" s="39"/>
      <c r="F201" s="48">
        <f>D201*E201</f>
        <v>0</v>
      </c>
      <c r="G201" s="49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9"/>
        <v>0</v>
      </c>
      <c r="T201" s="231">
        <f t="shared" si="10"/>
        <v>0</v>
      </c>
      <c r="U201" s="225">
        <f t="shared" si="11"/>
        <v>0</v>
      </c>
      <c r="V201" s="225">
        <f t="shared" si="12"/>
        <v>0</v>
      </c>
      <c r="W201" s="231">
        <f t="shared" si="13"/>
        <v>0</v>
      </c>
      <c r="X201" s="231"/>
    </row>
    <row r="202" spans="1:24" hidden="1" x14ac:dyDescent="0.25">
      <c r="A202" s="77" t="s">
        <v>152</v>
      </c>
      <c r="B202" s="163" t="s">
        <v>12</v>
      </c>
      <c r="C202" s="35"/>
      <c r="D202" s="36"/>
      <c r="E202" s="39"/>
      <c r="F202" s="48">
        <f>D202*E202</f>
        <v>0</v>
      </c>
      <c r="G202" s="49">
        <f>F202*C4</f>
        <v>0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9"/>
        <v>0</v>
      </c>
      <c r="T202" s="231">
        <f t="shared" si="10"/>
        <v>0</v>
      </c>
      <c r="U202" s="225">
        <f t="shared" si="11"/>
        <v>0</v>
      </c>
      <c r="V202" s="225">
        <f t="shared" si="12"/>
        <v>0</v>
      </c>
      <c r="W202" s="231">
        <f t="shared" si="13"/>
        <v>0</v>
      </c>
      <c r="X202" s="231"/>
    </row>
    <row r="203" spans="1:24" hidden="1" x14ac:dyDescent="0.25">
      <c r="A203" s="77" t="s">
        <v>153</v>
      </c>
      <c r="B203" s="163" t="s">
        <v>13</v>
      </c>
      <c r="C203" s="35"/>
      <c r="D203" s="36"/>
      <c r="E203" s="39"/>
      <c r="F203" s="48">
        <f>D203*E203</f>
        <v>0</v>
      </c>
      <c r="G203" s="49">
        <f>F203*C4</f>
        <v>0</v>
      </c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62"/>
      <c r="S203" s="225">
        <f t="shared" si="9"/>
        <v>0</v>
      </c>
      <c r="T203" s="231">
        <f t="shared" si="10"/>
        <v>0</v>
      </c>
      <c r="U203" s="225">
        <f t="shared" si="11"/>
        <v>0</v>
      </c>
      <c r="V203" s="225">
        <f t="shared" si="12"/>
        <v>0</v>
      </c>
      <c r="W203" s="231">
        <f t="shared" si="13"/>
        <v>0</v>
      </c>
      <c r="X203" s="231"/>
    </row>
    <row r="204" spans="1:24" hidden="1" x14ac:dyDescent="0.25">
      <c r="A204" s="77" t="s">
        <v>154</v>
      </c>
      <c r="B204" s="163" t="s">
        <v>14</v>
      </c>
      <c r="C204" s="35"/>
      <c r="D204" s="36"/>
      <c r="E204" s="39"/>
      <c r="F204" s="48">
        <f>D204*E204</f>
        <v>0</v>
      </c>
      <c r="G204" s="49">
        <f>F204*C4</f>
        <v>0</v>
      </c>
      <c r="H204" s="242"/>
      <c r="I204" s="242"/>
      <c r="J204" s="242"/>
      <c r="K204" s="242"/>
      <c r="L204" s="242"/>
      <c r="M204" s="242"/>
      <c r="N204" s="242"/>
      <c r="O204" s="242"/>
      <c r="P204" s="242"/>
      <c r="Q204" s="251"/>
      <c r="R204" s="262"/>
      <c r="S204" s="225">
        <f t="shared" si="9"/>
        <v>0</v>
      </c>
      <c r="T204" s="231">
        <f t="shared" si="10"/>
        <v>0</v>
      </c>
      <c r="U204" s="225">
        <f t="shared" si="11"/>
        <v>0</v>
      </c>
      <c r="V204" s="225">
        <f t="shared" si="12"/>
        <v>0</v>
      </c>
      <c r="W204" s="231">
        <f t="shared" si="13"/>
        <v>0</v>
      </c>
      <c r="X204" s="231"/>
    </row>
    <row r="205" spans="1:24" ht="39.6" hidden="1" x14ac:dyDescent="0.25">
      <c r="A205" s="77" t="s">
        <v>155</v>
      </c>
      <c r="B205" s="163" t="s">
        <v>56</v>
      </c>
      <c r="C205" s="35"/>
      <c r="D205" s="36"/>
      <c r="E205" s="39"/>
      <c r="F205" s="48">
        <f>D205*E205</f>
        <v>0</v>
      </c>
      <c r="G205" s="49">
        <f>F205*C4</f>
        <v>0</v>
      </c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62"/>
      <c r="S205" s="225">
        <f t="shared" si="9"/>
        <v>0</v>
      </c>
      <c r="T205" s="231">
        <f t="shared" si="10"/>
        <v>0</v>
      </c>
      <c r="U205" s="225">
        <f t="shared" si="11"/>
        <v>0</v>
      </c>
      <c r="V205" s="225">
        <f t="shared" si="12"/>
        <v>0</v>
      </c>
      <c r="W205" s="231">
        <f t="shared" si="13"/>
        <v>0</v>
      </c>
      <c r="X205" s="231"/>
    </row>
    <row r="206" spans="1:24" x14ac:dyDescent="0.25">
      <c r="B206" s="163"/>
      <c r="C206" s="6"/>
      <c r="D206" s="7"/>
      <c r="E206" s="8"/>
      <c r="F206" s="48"/>
      <c r="H206" s="242"/>
      <c r="I206" s="242"/>
      <c r="J206" s="242"/>
      <c r="K206" s="242"/>
      <c r="L206" s="242"/>
      <c r="M206" s="242"/>
      <c r="N206" s="242"/>
      <c r="O206" s="242"/>
      <c r="P206" s="242"/>
      <c r="Q206" s="251"/>
      <c r="R206" s="257"/>
      <c r="S206" s="225"/>
      <c r="T206" s="231"/>
      <c r="U206" s="225"/>
      <c r="V206" s="225"/>
      <c r="W206" s="231"/>
      <c r="X206" s="231"/>
    </row>
    <row r="207" spans="1:24" ht="13.8" thickBot="1" x14ac:dyDescent="0.3">
      <c r="A207" s="99"/>
      <c r="B207" s="146" t="s">
        <v>112</v>
      </c>
      <c r="C207" s="118"/>
      <c r="D207" s="122"/>
      <c r="E207" s="123"/>
      <c r="F207" s="50">
        <f>SUM(F201:F205)</f>
        <v>0</v>
      </c>
      <c r="G207" s="50">
        <f>SUM(G201:G205)</f>
        <v>0</v>
      </c>
      <c r="H207" s="244"/>
      <c r="I207" s="244"/>
      <c r="J207" s="244"/>
      <c r="K207" s="244"/>
      <c r="L207" s="244"/>
      <c r="M207" s="244"/>
      <c r="N207" s="244"/>
      <c r="O207" s="244"/>
      <c r="P207" s="244"/>
      <c r="Q207" s="253"/>
      <c r="R207" s="263"/>
      <c r="S207" s="237">
        <f t="shared" si="9"/>
        <v>0</v>
      </c>
      <c r="T207" s="238">
        <f t="shared" si="10"/>
        <v>0</v>
      </c>
      <c r="U207" s="237">
        <f t="shared" si="11"/>
        <v>0</v>
      </c>
      <c r="V207" s="237">
        <f t="shared" si="12"/>
        <v>0</v>
      </c>
      <c r="W207" s="238">
        <f t="shared" si="13"/>
        <v>0</v>
      </c>
      <c r="X207" s="238"/>
    </row>
    <row r="208" spans="1:24" ht="13.8" thickTop="1" x14ac:dyDescent="0.25">
      <c r="B208" s="163"/>
      <c r="F208" s="48"/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57"/>
      <c r="S208" s="225"/>
      <c r="T208" s="231"/>
      <c r="U208" s="225"/>
      <c r="V208" s="225"/>
      <c r="W208" s="231"/>
      <c r="X208" s="231"/>
    </row>
    <row r="209" spans="1:24" x14ac:dyDescent="0.25">
      <c r="A209" s="125">
        <v>6</v>
      </c>
      <c r="B209" s="126" t="s">
        <v>113</v>
      </c>
      <c r="C209" s="130"/>
      <c r="D209" s="129"/>
      <c r="E209" s="131"/>
      <c r="F209" s="131"/>
      <c r="G209" s="147"/>
      <c r="H209" s="241"/>
      <c r="I209" s="241"/>
      <c r="J209" s="241"/>
      <c r="K209" s="241"/>
      <c r="L209" s="241"/>
      <c r="M209" s="241"/>
      <c r="N209" s="241"/>
      <c r="O209" s="241"/>
      <c r="P209" s="241"/>
      <c r="Q209" s="252"/>
      <c r="R209" s="260"/>
      <c r="S209" s="230"/>
      <c r="T209" s="232"/>
      <c r="U209" s="230"/>
      <c r="V209" s="230"/>
      <c r="W209" s="232"/>
      <c r="X209" s="232"/>
    </row>
    <row r="210" spans="1:24" hidden="1" x14ac:dyDescent="0.25">
      <c r="A210" s="99" t="s">
        <v>114</v>
      </c>
      <c r="B210" s="99" t="s">
        <v>71</v>
      </c>
      <c r="C210" s="2"/>
      <c r="D210" s="142"/>
      <c r="E210" s="143"/>
      <c r="F210" s="3"/>
      <c r="G210" s="53"/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56"/>
      <c r="S210" s="225"/>
      <c r="T210" s="231"/>
      <c r="U210" s="225"/>
      <c r="V210" s="225"/>
      <c r="W210" s="231"/>
      <c r="X210" s="231"/>
    </row>
    <row r="211" spans="1:24" hidden="1" x14ac:dyDescent="0.25">
      <c r="A211" s="109" t="s">
        <v>115</v>
      </c>
      <c r="B211" s="170" t="s">
        <v>72</v>
      </c>
      <c r="C211" s="35"/>
      <c r="D211" s="36"/>
      <c r="E211" s="39"/>
      <c r="F211" s="3">
        <f>D211*E211</f>
        <v>0</v>
      </c>
      <c r="G211" s="53">
        <f>F211*C4</f>
        <v>0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si="9"/>
        <v>0</v>
      </c>
      <c r="T211" s="231">
        <f t="shared" si="10"/>
        <v>0</v>
      </c>
      <c r="U211" s="225">
        <f t="shared" si="11"/>
        <v>0</v>
      </c>
      <c r="V211" s="225">
        <f t="shared" si="12"/>
        <v>0</v>
      </c>
      <c r="W211" s="231">
        <f t="shared" si="13"/>
        <v>0</v>
      </c>
      <c r="X211" s="231"/>
    </row>
    <row r="212" spans="1:24" hidden="1" x14ac:dyDescent="0.25">
      <c r="A212" s="109" t="s">
        <v>116</v>
      </c>
      <c r="B212" s="170" t="s">
        <v>73</v>
      </c>
      <c r="C212" s="35"/>
      <c r="D212" s="36"/>
      <c r="E212" s="39"/>
      <c r="F212" s="3">
        <f>D212*E212</f>
        <v>0</v>
      </c>
      <c r="G212" s="53">
        <f>F212*C4</f>
        <v>0</v>
      </c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62"/>
      <c r="S212" s="225">
        <f t="shared" si="9"/>
        <v>0</v>
      </c>
      <c r="T212" s="231">
        <f t="shared" si="10"/>
        <v>0</v>
      </c>
      <c r="U212" s="225">
        <f t="shared" si="11"/>
        <v>0</v>
      </c>
      <c r="V212" s="225">
        <f t="shared" si="12"/>
        <v>0</v>
      </c>
      <c r="W212" s="231">
        <f t="shared" si="13"/>
        <v>0</v>
      </c>
      <c r="X212" s="231"/>
    </row>
    <row r="213" spans="1:24" hidden="1" x14ac:dyDescent="0.25">
      <c r="A213" s="109" t="s">
        <v>117</v>
      </c>
      <c r="B213" s="170" t="s">
        <v>74</v>
      </c>
      <c r="C213" s="35"/>
      <c r="D213" s="36"/>
      <c r="E213" s="39"/>
      <c r="F213" s="3">
        <f>D213*E213</f>
        <v>0</v>
      </c>
      <c r="G213" s="53">
        <f>F213*C4</f>
        <v>0</v>
      </c>
      <c r="H213" s="242"/>
      <c r="I213" s="242"/>
      <c r="J213" s="242"/>
      <c r="K213" s="242"/>
      <c r="L213" s="242"/>
      <c r="M213" s="242"/>
      <c r="N213" s="242"/>
      <c r="O213" s="242"/>
      <c r="P213" s="242"/>
      <c r="Q213" s="251"/>
      <c r="R213" s="262"/>
      <c r="S213" s="225">
        <f t="shared" si="9"/>
        <v>0</v>
      </c>
      <c r="T213" s="231">
        <f t="shared" si="10"/>
        <v>0</v>
      </c>
      <c r="U213" s="225">
        <f t="shared" si="11"/>
        <v>0</v>
      </c>
      <c r="V213" s="225">
        <f t="shared" si="12"/>
        <v>0</v>
      </c>
      <c r="W213" s="231">
        <f t="shared" si="13"/>
        <v>0</v>
      </c>
      <c r="X213" s="231"/>
    </row>
    <row r="214" spans="1:24" hidden="1" x14ac:dyDescent="0.25">
      <c r="A214" s="109" t="s">
        <v>118</v>
      </c>
      <c r="B214" s="170" t="s">
        <v>75</v>
      </c>
      <c r="C214" s="35"/>
      <c r="D214" s="36"/>
      <c r="E214" s="39"/>
      <c r="F214" s="3">
        <f>D214*E214</f>
        <v>0</v>
      </c>
      <c r="G214" s="53">
        <f>F214*C4</f>
        <v>0</v>
      </c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62"/>
      <c r="S214" s="225">
        <f>R214-F214</f>
        <v>0</v>
      </c>
      <c r="T214" s="231">
        <f>IF(F214=0,0,S214/F214)</f>
        <v>0</v>
      </c>
      <c r="U214" s="225">
        <f>R214*$C$4</f>
        <v>0</v>
      </c>
      <c r="V214" s="225">
        <f>U214-G214</f>
        <v>0</v>
      </c>
      <c r="W214" s="231">
        <f>IF(G214=0,0,V214/G214)</f>
        <v>0</v>
      </c>
      <c r="X214" s="231"/>
    </row>
    <row r="215" spans="1:24" hidden="1" x14ac:dyDescent="0.25">
      <c r="A215" s="99"/>
      <c r="B215" s="170"/>
      <c r="C215" s="40"/>
      <c r="D215" s="41"/>
      <c r="E215" s="42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ht="13.8" hidden="1" thickBot="1" x14ac:dyDescent="0.3">
      <c r="A216" s="99"/>
      <c r="B216" s="146" t="s">
        <v>76</v>
      </c>
      <c r="C216" s="172"/>
      <c r="D216" s="171"/>
      <c r="E216" s="173"/>
      <c r="F216" s="50">
        <f>SUM(F211:F214)</f>
        <v>0</v>
      </c>
      <c r="G216" s="50">
        <f>SUM(G211:G214)</f>
        <v>0</v>
      </c>
      <c r="H216" s="244"/>
      <c r="I216" s="244"/>
      <c r="J216" s="244"/>
      <c r="K216" s="244"/>
      <c r="L216" s="244"/>
      <c r="M216" s="244"/>
      <c r="N216" s="244"/>
      <c r="O216" s="244"/>
      <c r="P216" s="244"/>
      <c r="Q216" s="253"/>
      <c r="R216" s="263"/>
      <c r="S216" s="237">
        <f>R216-F216</f>
        <v>0</v>
      </c>
      <c r="T216" s="238">
        <f>IF(F216=0,0,S216/F216)</f>
        <v>0</v>
      </c>
      <c r="U216" s="237">
        <f>R216*$C$4</f>
        <v>0</v>
      </c>
      <c r="V216" s="237">
        <f>U216-G216</f>
        <v>0</v>
      </c>
      <c r="W216" s="238">
        <f>IF(G216=0,0,V216/G216)</f>
        <v>0</v>
      </c>
      <c r="X216" s="238"/>
    </row>
    <row r="217" spans="1:24" hidden="1" x14ac:dyDescent="0.25">
      <c r="B217" s="174"/>
      <c r="F217" s="175"/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57"/>
      <c r="S217" s="225"/>
      <c r="T217" s="231"/>
      <c r="U217" s="225"/>
      <c r="V217" s="225"/>
      <c r="W217" s="231"/>
      <c r="X217" s="231"/>
    </row>
    <row r="218" spans="1:24" x14ac:dyDescent="0.25">
      <c r="A218" s="99" t="s">
        <v>119</v>
      </c>
      <c r="B218" s="99" t="s">
        <v>193</v>
      </c>
      <c r="C218" s="2"/>
      <c r="D218" s="142"/>
      <c r="E218" s="143"/>
      <c r="F218" s="3"/>
      <c r="G218" s="53"/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56"/>
      <c r="S218" s="225"/>
      <c r="T218" s="231"/>
      <c r="U218" s="225"/>
      <c r="V218" s="225"/>
      <c r="W218" s="231"/>
      <c r="X218" s="231"/>
    </row>
    <row r="219" spans="1:24" ht="26.4" x14ac:dyDescent="0.25">
      <c r="A219" s="109" t="s">
        <v>120</v>
      </c>
      <c r="B219" s="170" t="s">
        <v>621</v>
      </c>
      <c r="C219" s="21" t="s">
        <v>620</v>
      </c>
      <c r="D219" s="25">
        <v>1</v>
      </c>
      <c r="E219" s="18">
        <v>9000000</v>
      </c>
      <c r="F219" s="3">
        <f>D219*E219</f>
        <v>9000000</v>
      </c>
      <c r="G219" s="53">
        <f>F219*C4</f>
        <v>6000.0000000000027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>R219-F219</f>
        <v>-9000000</v>
      </c>
      <c r="T219" s="231">
        <f>IF(F219=0,0,S219/F219)</f>
        <v>-1</v>
      </c>
      <c r="U219" s="225">
        <f>R219*$C$4</f>
        <v>0</v>
      </c>
      <c r="V219" s="225">
        <f>U219-G219</f>
        <v>-6000.0000000000027</v>
      </c>
      <c r="W219" s="231">
        <f>IF(G219=0,0,V219/G219)</f>
        <v>-1</v>
      </c>
      <c r="X219" s="231"/>
    </row>
    <row r="220" spans="1:24" hidden="1" x14ac:dyDescent="0.25">
      <c r="A220" s="109" t="s">
        <v>121</v>
      </c>
      <c r="B220" s="170" t="s">
        <v>130</v>
      </c>
      <c r="C220" s="35"/>
      <c r="D220" s="36"/>
      <c r="E220" s="39"/>
      <c r="F220" s="3">
        <f>D220*E220</f>
        <v>0</v>
      </c>
      <c r="G220" s="53">
        <f>F220*C4</f>
        <v>0</v>
      </c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62"/>
      <c r="S220" s="225">
        <f>R220-F220</f>
        <v>0</v>
      </c>
      <c r="T220" s="231">
        <f>IF(F220=0,0,S220/F220)</f>
        <v>0</v>
      </c>
      <c r="U220" s="225">
        <f>R220*$C$4</f>
        <v>0</v>
      </c>
      <c r="V220" s="225">
        <f>U220-G220</f>
        <v>0</v>
      </c>
      <c r="W220" s="231">
        <f>IF(G220=0,0,V220/G220)</f>
        <v>0</v>
      </c>
      <c r="X220" s="231"/>
    </row>
    <row r="221" spans="1:24" hidden="1" x14ac:dyDescent="0.25">
      <c r="A221" s="109" t="s">
        <v>122</v>
      </c>
      <c r="B221" s="170" t="s">
        <v>128</v>
      </c>
      <c r="C221" s="35"/>
      <c r="D221" s="36"/>
      <c r="E221" s="39"/>
      <c r="F221" s="3">
        <f>D221*E221</f>
        <v>0</v>
      </c>
      <c r="G221" s="53">
        <f>F221*C4</f>
        <v>0</v>
      </c>
      <c r="H221" s="242"/>
      <c r="I221" s="242"/>
      <c r="J221" s="242"/>
      <c r="K221" s="242"/>
      <c r="L221" s="242"/>
      <c r="M221" s="242"/>
      <c r="N221" s="242"/>
      <c r="O221" s="242"/>
      <c r="P221" s="242"/>
      <c r="Q221" s="251"/>
      <c r="R221" s="262"/>
      <c r="S221" s="225">
        <f>R221-F221</f>
        <v>0</v>
      </c>
      <c r="T221" s="231">
        <f>IF(F221=0,0,S221/F221)</f>
        <v>0</v>
      </c>
      <c r="U221" s="225">
        <f>R221*$C$4</f>
        <v>0</v>
      </c>
      <c r="V221" s="225">
        <f>U221-G221</f>
        <v>0</v>
      </c>
      <c r="W221" s="231">
        <f>IF(G221=0,0,V221/G221)</f>
        <v>0</v>
      </c>
      <c r="X221" s="231"/>
    </row>
    <row r="222" spans="1:24" ht="26.4" x14ac:dyDescent="0.25">
      <c r="A222" s="109" t="s">
        <v>123</v>
      </c>
      <c r="B222" s="170" t="s">
        <v>788</v>
      </c>
      <c r="C222" s="21" t="s">
        <v>453</v>
      </c>
      <c r="D222" s="21">
        <v>1</v>
      </c>
      <c r="E222" s="21">
        <v>1500000</v>
      </c>
      <c r="F222" s="3">
        <f>D222*E222</f>
        <v>1500000</v>
      </c>
      <c r="G222" s="3">
        <f>F222*C4</f>
        <v>1000.0000000000005</v>
      </c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62"/>
      <c r="S222" s="225">
        <f>R222-F222</f>
        <v>-1500000</v>
      </c>
      <c r="T222" s="231">
        <f>IF(F222=0,0,S222/F222)</f>
        <v>-1</v>
      </c>
      <c r="U222" s="225">
        <f>R222*$C$4</f>
        <v>0</v>
      </c>
      <c r="V222" s="225">
        <f>U222-G222</f>
        <v>-1000.0000000000005</v>
      </c>
      <c r="W222" s="231">
        <f>IF(G222=0,0,V222/G222)</f>
        <v>-1</v>
      </c>
      <c r="X222" s="231"/>
    </row>
    <row r="223" spans="1:24" x14ac:dyDescent="0.25">
      <c r="A223" s="99"/>
      <c r="B223" s="170"/>
      <c r="C223" s="40"/>
      <c r="D223" s="41"/>
      <c r="E223" s="42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ht="13.8" thickBot="1" x14ac:dyDescent="0.3">
      <c r="A224" s="99"/>
      <c r="B224" s="146" t="s">
        <v>194</v>
      </c>
      <c r="C224" s="172"/>
      <c r="D224" s="171"/>
      <c r="E224" s="173"/>
      <c r="F224" s="50">
        <f>SUM(F219:F222)</f>
        <v>10500000</v>
      </c>
      <c r="G224" s="50">
        <f>SUM(G219:G222)</f>
        <v>7000.0000000000036</v>
      </c>
      <c r="H224" s="244"/>
      <c r="I224" s="244"/>
      <c r="J224" s="244"/>
      <c r="K224" s="244"/>
      <c r="L224" s="244"/>
      <c r="M224" s="244"/>
      <c r="N224" s="244"/>
      <c r="O224" s="244"/>
      <c r="P224" s="244"/>
      <c r="Q224" s="253"/>
      <c r="R224" s="263"/>
      <c r="S224" s="237">
        <f>R224-F224</f>
        <v>-10500000</v>
      </c>
      <c r="T224" s="238">
        <f>IF(F224=0,0,S224/F224)</f>
        <v>-1</v>
      </c>
      <c r="U224" s="237">
        <f>R224*$C$4</f>
        <v>0</v>
      </c>
      <c r="V224" s="237">
        <f>U224-G224</f>
        <v>-7000.0000000000036</v>
      </c>
      <c r="W224" s="238">
        <f>IF(G224=0,0,V224/G224)</f>
        <v>-1</v>
      </c>
      <c r="X224" s="238"/>
    </row>
    <row r="225" spans="1:24" ht="13.8" thickTop="1" x14ac:dyDescent="0.25">
      <c r="B225" s="174"/>
      <c r="F225" s="175"/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57"/>
      <c r="S225" s="225"/>
      <c r="T225" s="231"/>
      <c r="U225" s="225"/>
      <c r="V225" s="225"/>
      <c r="W225" s="231"/>
      <c r="X225" s="231"/>
    </row>
    <row r="226" spans="1:24" hidden="1" x14ac:dyDescent="0.25">
      <c r="A226" s="99" t="s">
        <v>157</v>
      </c>
      <c r="B226" s="99" t="s">
        <v>156</v>
      </c>
      <c r="C226" s="2"/>
      <c r="D226" s="142"/>
      <c r="E226" s="143"/>
      <c r="F226" s="3"/>
      <c r="G226" s="53"/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56"/>
      <c r="S226" s="225"/>
      <c r="T226" s="231"/>
      <c r="U226" s="225"/>
      <c r="V226" s="225"/>
      <c r="W226" s="231"/>
      <c r="X226" s="231"/>
    </row>
    <row r="227" spans="1:24" hidden="1" x14ac:dyDescent="0.25">
      <c r="A227" s="109" t="s">
        <v>162</v>
      </c>
      <c r="B227" s="170" t="s">
        <v>294</v>
      </c>
      <c r="C227" s="35"/>
      <c r="D227" s="36"/>
      <c r="E227" s="39"/>
      <c r="F227" s="3">
        <f>D227*E227</f>
        <v>0</v>
      </c>
      <c r="G227" s="53">
        <f>F227*C4</f>
        <v>0</v>
      </c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62"/>
      <c r="S227" s="225">
        <f>R227-F227</f>
        <v>0</v>
      </c>
      <c r="T227" s="231">
        <f>IF(F227=0,0,S227/F227)</f>
        <v>0</v>
      </c>
      <c r="U227" s="225">
        <f>R227*$C$4</f>
        <v>0</v>
      </c>
      <c r="V227" s="225">
        <f>U227-G227</f>
        <v>0</v>
      </c>
      <c r="W227" s="231">
        <f>IF(G227=0,0,V227/G227)</f>
        <v>0</v>
      </c>
      <c r="X227" s="231"/>
    </row>
    <row r="228" spans="1:24" hidden="1" x14ac:dyDescent="0.25">
      <c r="A228" s="109" t="s">
        <v>163</v>
      </c>
      <c r="B228" s="170" t="s">
        <v>159</v>
      </c>
      <c r="C228" s="35"/>
      <c r="D228" s="36"/>
      <c r="E228" s="39"/>
      <c r="F228" s="3">
        <f>D228*E228</f>
        <v>0</v>
      </c>
      <c r="G228" s="53">
        <f>F228*C4</f>
        <v>0</v>
      </c>
      <c r="H228" s="242"/>
      <c r="I228" s="242"/>
      <c r="J228" s="242"/>
      <c r="K228" s="242"/>
      <c r="L228" s="242"/>
      <c r="M228" s="242"/>
      <c r="N228" s="242"/>
      <c r="O228" s="242"/>
      <c r="P228" s="242"/>
      <c r="Q228" s="251"/>
      <c r="R228" s="262"/>
      <c r="S228" s="225">
        <f>R228-F228</f>
        <v>0</v>
      </c>
      <c r="T228" s="231">
        <f>IF(F228=0,0,S228/F228)</f>
        <v>0</v>
      </c>
      <c r="U228" s="225">
        <f>R228*$C$4</f>
        <v>0</v>
      </c>
      <c r="V228" s="225">
        <f>U228-G228</f>
        <v>0</v>
      </c>
      <c r="W228" s="231">
        <f>IF(G228=0,0,V228/G228)</f>
        <v>0</v>
      </c>
      <c r="X228" s="231"/>
    </row>
    <row r="229" spans="1:24" hidden="1" x14ac:dyDescent="0.25">
      <c r="A229" s="109" t="s">
        <v>164</v>
      </c>
      <c r="B229" s="170" t="s">
        <v>160</v>
      </c>
      <c r="C229" s="35"/>
      <c r="D229" s="36"/>
      <c r="E229" s="39"/>
      <c r="F229" s="3">
        <f>D229*E229</f>
        <v>0</v>
      </c>
      <c r="G229" s="53">
        <f>F229*C4</f>
        <v>0</v>
      </c>
      <c r="H229" s="242"/>
      <c r="I229" s="242"/>
      <c r="J229" s="242"/>
      <c r="K229" s="242"/>
      <c r="L229" s="242"/>
      <c r="M229" s="242"/>
      <c r="N229" s="242"/>
      <c r="O229" s="242"/>
      <c r="P229" s="242"/>
      <c r="Q229" s="251"/>
      <c r="R229" s="262"/>
      <c r="S229" s="225">
        <f>R229-F229</f>
        <v>0</v>
      </c>
      <c r="T229" s="231">
        <f>IF(F229=0,0,S229/F229)</f>
        <v>0</v>
      </c>
      <c r="U229" s="225">
        <f>R229*$C$4</f>
        <v>0</v>
      </c>
      <c r="V229" s="225">
        <f>U229-G229</f>
        <v>0</v>
      </c>
      <c r="W229" s="231">
        <f>IF(G229=0,0,V229/G229)</f>
        <v>0</v>
      </c>
      <c r="X229" s="231"/>
    </row>
    <row r="230" spans="1:24" hidden="1" x14ac:dyDescent="0.25">
      <c r="A230" s="99"/>
      <c r="B230" s="170"/>
      <c r="C230" s="40"/>
      <c r="D230" s="41"/>
      <c r="E230" s="42"/>
      <c r="F230" s="3"/>
      <c r="G230" s="53"/>
      <c r="H230" s="242"/>
      <c r="I230" s="242"/>
      <c r="J230" s="242"/>
      <c r="K230" s="242"/>
      <c r="L230" s="242"/>
      <c r="M230" s="242"/>
      <c r="N230" s="242"/>
      <c r="O230" s="242"/>
      <c r="P230" s="242"/>
      <c r="Q230" s="251"/>
      <c r="R230" s="256"/>
      <c r="S230" s="237"/>
      <c r="T230" s="238"/>
      <c r="U230" s="237"/>
      <c r="V230" s="237"/>
      <c r="W230" s="238"/>
      <c r="X230" s="238"/>
    </row>
    <row r="231" spans="1:24" ht="13.8" hidden="1" thickBot="1" x14ac:dyDescent="0.3">
      <c r="A231" s="99"/>
      <c r="B231" s="146" t="s">
        <v>161</v>
      </c>
      <c r="C231" s="172"/>
      <c r="D231" s="171"/>
      <c r="E231" s="173"/>
      <c r="F231" s="50">
        <f>SUM(F227:F229)</f>
        <v>0</v>
      </c>
      <c r="G231" s="50">
        <f>SUM(G227:G229)</f>
        <v>0</v>
      </c>
      <c r="H231" s="244"/>
      <c r="I231" s="244"/>
      <c r="J231" s="244"/>
      <c r="K231" s="244"/>
      <c r="L231" s="244"/>
      <c r="M231" s="244"/>
      <c r="N231" s="244"/>
      <c r="O231" s="244"/>
      <c r="P231" s="244"/>
      <c r="Q231" s="253"/>
      <c r="R231" s="263"/>
      <c r="S231" s="237">
        <f>R231-F231</f>
        <v>0</v>
      </c>
      <c r="T231" s="238">
        <f>IF(F231=0,0,S231/F231)</f>
        <v>0</v>
      </c>
      <c r="U231" s="237">
        <f>R231*$C$4</f>
        <v>0</v>
      </c>
      <c r="V231" s="237">
        <f>U231-G231</f>
        <v>0</v>
      </c>
      <c r="W231" s="238">
        <f>IF(G231=0,0,V231/G231)</f>
        <v>0</v>
      </c>
      <c r="X231" s="238"/>
    </row>
    <row r="232" spans="1:24" ht="13.8" hidden="1" thickTop="1" x14ac:dyDescent="0.25">
      <c r="A232" s="99"/>
      <c r="B232" s="146"/>
      <c r="C232" s="172"/>
      <c r="D232" s="171"/>
      <c r="E232" s="173"/>
      <c r="F232" s="169"/>
      <c r="G232" s="169"/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/>
      <c r="S232" s="237"/>
      <c r="T232" s="238"/>
      <c r="U232" s="237"/>
      <c r="V232" s="237"/>
      <c r="W232" s="238"/>
      <c r="X232" s="238"/>
    </row>
    <row r="233" spans="1:24" x14ac:dyDescent="0.25">
      <c r="A233" s="99" t="s">
        <v>310</v>
      </c>
      <c r="B233" s="146" t="s">
        <v>313</v>
      </c>
      <c r="C233" s="172"/>
      <c r="D233" s="171"/>
      <c r="E233" s="173"/>
      <c r="F233" s="169"/>
      <c r="G233" s="169"/>
      <c r="H233" s="244"/>
      <c r="I233" s="244"/>
      <c r="J233" s="244"/>
      <c r="K233" s="244"/>
      <c r="L233" s="244"/>
      <c r="M233" s="244"/>
      <c r="N233" s="244"/>
      <c r="O233" s="244"/>
      <c r="P233" s="244"/>
      <c r="Q233" s="253"/>
      <c r="R233" s="263"/>
      <c r="S233" s="237"/>
      <c r="T233" s="238"/>
      <c r="U233" s="237"/>
      <c r="V233" s="237"/>
      <c r="W233" s="238"/>
      <c r="X233" s="238"/>
    </row>
    <row r="234" spans="1:24" x14ac:dyDescent="0.25">
      <c r="A234" s="109" t="s">
        <v>315</v>
      </c>
      <c r="B234" s="157" t="s">
        <v>314</v>
      </c>
      <c r="C234" s="172"/>
      <c r="D234" s="171"/>
      <c r="E234" s="173">
        <f ca="1">F268/1.03*3%</f>
        <v>23111550</v>
      </c>
      <c r="F234" s="169">
        <f ca="1">E234</f>
        <v>23111550</v>
      </c>
      <c r="G234" s="169">
        <f ca="1">F234*C4</f>
        <v>15407.700000000006</v>
      </c>
      <c r="H234" s="244"/>
      <c r="I234" s="244"/>
      <c r="J234" s="244"/>
      <c r="K234" s="244"/>
      <c r="L234" s="244"/>
      <c r="M234" s="244"/>
      <c r="N234" s="244"/>
      <c r="O234" s="244"/>
      <c r="P234" s="244"/>
      <c r="Q234" s="253"/>
      <c r="R234" s="263" t="e">
        <f>#REF!/1.03*3%</f>
        <v>#REF!</v>
      </c>
      <c r="S234" s="237"/>
      <c r="T234" s="238"/>
      <c r="U234" s="237" t="e">
        <f>R234*C4</f>
        <v>#REF!</v>
      </c>
      <c r="V234" s="237"/>
      <c r="W234" s="238"/>
      <c r="X234" s="238"/>
    </row>
    <row r="235" spans="1:24" x14ac:dyDescent="0.25">
      <c r="A235" s="109"/>
      <c r="B235" s="157"/>
      <c r="C235" s="172"/>
      <c r="D235" s="171"/>
      <c r="E235" s="173"/>
      <c r="F235" s="169"/>
      <c r="G235" s="169"/>
      <c r="H235" s="244"/>
      <c r="I235" s="244"/>
      <c r="J235" s="244"/>
      <c r="K235" s="244"/>
      <c r="L235" s="244"/>
      <c r="M235" s="244"/>
      <c r="N235" s="244"/>
      <c r="O235" s="244"/>
      <c r="P235" s="244"/>
      <c r="Q235" s="253"/>
      <c r="R235" s="263"/>
      <c r="S235" s="237"/>
      <c r="T235" s="238"/>
      <c r="U235" s="237"/>
      <c r="V235" s="237"/>
      <c r="W235" s="238"/>
      <c r="X235" s="238"/>
    </row>
    <row r="236" spans="1:24" ht="13.8" thickBot="1" x14ac:dyDescent="0.3">
      <c r="A236" s="99"/>
      <c r="B236" s="146" t="s">
        <v>316</v>
      </c>
      <c r="C236" s="172"/>
      <c r="D236" s="171"/>
      <c r="E236" s="173"/>
      <c r="F236" s="50">
        <f ca="1">F234</f>
        <v>23111550</v>
      </c>
      <c r="G236" s="50">
        <f ca="1">G234</f>
        <v>15407.700000000006</v>
      </c>
      <c r="H236" s="267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37"/>
      <c r="T236" s="238"/>
      <c r="U236" s="237"/>
      <c r="V236" s="237"/>
      <c r="W236" s="238"/>
      <c r="X236" s="238"/>
    </row>
    <row r="237" spans="1:24" ht="13.8" thickTop="1" x14ac:dyDescent="0.25">
      <c r="A237" s="99"/>
      <c r="B237" s="146"/>
      <c r="C237" s="118"/>
      <c r="D237" s="122"/>
      <c r="E237" s="123"/>
      <c r="F237" s="169"/>
      <c r="G237" s="169"/>
      <c r="H237" s="244"/>
      <c r="I237" s="244"/>
      <c r="J237" s="244"/>
      <c r="K237" s="244"/>
      <c r="L237" s="244"/>
      <c r="M237" s="244"/>
      <c r="N237" s="244"/>
      <c r="O237" s="244"/>
      <c r="P237" s="244"/>
      <c r="Q237" s="253"/>
      <c r="R237" s="259"/>
      <c r="S237" s="225"/>
      <c r="T237" s="231"/>
      <c r="U237" s="225"/>
      <c r="V237" s="225"/>
      <c r="W237" s="231"/>
      <c r="X237" s="231"/>
    </row>
    <row r="238" spans="1:24" x14ac:dyDescent="0.25">
      <c r="A238" s="99"/>
      <c r="B238" s="146"/>
      <c r="C238" s="118"/>
      <c r="D238" s="122"/>
      <c r="E238" s="123"/>
      <c r="F238" s="169"/>
      <c r="G238" s="169"/>
      <c r="H238" s="244"/>
      <c r="I238" s="244"/>
      <c r="J238" s="244"/>
      <c r="K238" s="244"/>
      <c r="L238" s="244"/>
      <c r="M238" s="244"/>
      <c r="N238" s="244"/>
      <c r="O238" s="244"/>
      <c r="P238" s="244"/>
      <c r="Q238" s="253"/>
      <c r="R238" s="259"/>
      <c r="S238" s="225"/>
      <c r="T238" s="231"/>
      <c r="U238" s="225"/>
      <c r="V238" s="225"/>
      <c r="W238" s="231"/>
      <c r="X238" s="231"/>
    </row>
    <row r="239" spans="1:24" ht="13.8" thickBot="1" x14ac:dyDescent="0.3">
      <c r="A239" s="176"/>
      <c r="B239" s="177" t="s">
        <v>49</v>
      </c>
      <c r="C239" s="179"/>
      <c r="D239" s="178"/>
      <c r="E239" s="180"/>
      <c r="F239" s="54">
        <f ca="1">SUM(F100+F165+F179+F198+F207+F216+F224+F231+F236)</f>
        <v>691331550</v>
      </c>
      <c r="G239" s="54">
        <f ca="1">F239*C4</f>
        <v>460887.70000000019</v>
      </c>
      <c r="H239" s="244"/>
      <c r="I239" s="244"/>
      <c r="J239" s="244"/>
      <c r="K239" s="244"/>
      <c r="L239" s="244"/>
      <c r="M239" s="244"/>
      <c r="N239" s="244"/>
      <c r="O239" s="244"/>
      <c r="P239" s="244"/>
      <c r="Q239" s="253"/>
      <c r="R239" s="263"/>
      <c r="S239" s="226">
        <f ca="1">R239-F239</f>
        <v>-691331550</v>
      </c>
      <c r="T239" s="236">
        <f ca="1">IF(F239=0,0,S239/F239)</f>
        <v>-1</v>
      </c>
      <c r="U239" s="226">
        <f>R239*$C$4</f>
        <v>0</v>
      </c>
      <c r="V239" s="226">
        <f ca="1">U239-G239</f>
        <v>-460887.70000000019</v>
      </c>
      <c r="W239" s="236">
        <f ca="1">IF(G239=0,0,V239/G239)</f>
        <v>-1</v>
      </c>
      <c r="X239" s="236"/>
    </row>
    <row r="240" spans="1:24" ht="13.8" thickTop="1" x14ac:dyDescent="0.25">
      <c r="B240" s="87"/>
      <c r="F240" s="48"/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57"/>
      <c r="S240" s="225"/>
      <c r="T240" s="231"/>
      <c r="U240" s="225"/>
      <c r="V240" s="225"/>
      <c r="W240" s="231"/>
      <c r="X240" s="231"/>
    </row>
    <row r="241" spans="1:24" x14ac:dyDescent="0.25">
      <c r="A241" s="70" t="s">
        <v>57</v>
      </c>
      <c r="F241" s="48"/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57"/>
      <c r="S241" s="225"/>
      <c r="T241" s="231"/>
      <c r="U241" s="225"/>
      <c r="V241" s="225"/>
      <c r="W241" s="231"/>
      <c r="X241" s="231"/>
    </row>
    <row r="242" spans="1:24" x14ac:dyDescent="0.25">
      <c r="A242" s="70" t="s">
        <v>18</v>
      </c>
      <c r="B242" s="181" t="s">
        <v>9</v>
      </c>
      <c r="F242" s="48"/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57"/>
      <c r="S242" s="225"/>
      <c r="T242" s="231"/>
      <c r="U242" s="225"/>
      <c r="V242" s="225"/>
      <c r="W242" s="231"/>
      <c r="X242" s="231"/>
    </row>
    <row r="243" spans="1:24" x14ac:dyDescent="0.25">
      <c r="B243" s="137" t="s">
        <v>609</v>
      </c>
      <c r="C243" s="28" t="s">
        <v>392</v>
      </c>
      <c r="D243" s="25">
        <v>12</v>
      </c>
      <c r="E243" s="18">
        <v>900000</v>
      </c>
      <c r="F243" s="48">
        <f>D243*E243</f>
        <v>10800000</v>
      </c>
      <c r="G243" s="49">
        <f>F243*$C$4</f>
        <v>7200.0000000000036</v>
      </c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62"/>
      <c r="S243" s="225">
        <f>R243-F243</f>
        <v>-10800000</v>
      </c>
      <c r="T243" s="231">
        <f>IF(F243=0,0,S243/F243)</f>
        <v>-1</v>
      </c>
      <c r="U243" s="225">
        <f>R243*$C$4</f>
        <v>0</v>
      </c>
      <c r="V243" s="225">
        <f>U243-G243</f>
        <v>-7200.0000000000036</v>
      </c>
      <c r="W243" s="231">
        <f>IF(G243=0,0,V243/G243)</f>
        <v>-1</v>
      </c>
      <c r="X243" s="231"/>
    </row>
    <row r="244" spans="1:24" x14ac:dyDescent="0.25">
      <c r="B244" s="137" t="s">
        <v>622</v>
      </c>
      <c r="C244" s="28" t="s">
        <v>392</v>
      </c>
      <c r="D244" s="25">
        <v>12</v>
      </c>
      <c r="E244" s="18">
        <v>1125000</v>
      </c>
      <c r="F244" s="48">
        <f t="shared" ref="F244:F253" si="15">D244*E244</f>
        <v>13500000</v>
      </c>
      <c r="G244" s="49">
        <f t="shared" ref="G244:G253" si="16">F244*$C$4</f>
        <v>9000.0000000000036</v>
      </c>
      <c r="H244" s="242"/>
      <c r="I244" s="242"/>
      <c r="J244" s="242"/>
      <c r="K244" s="242"/>
      <c r="L244" s="242"/>
      <c r="M244" s="242"/>
      <c r="N244" s="242"/>
      <c r="O244" s="242"/>
      <c r="P244" s="242"/>
      <c r="Q244" s="251"/>
      <c r="R244" s="262"/>
      <c r="S244" s="225"/>
      <c r="T244" s="231"/>
      <c r="U244" s="225"/>
      <c r="V244" s="225"/>
      <c r="W244" s="231"/>
      <c r="X244" s="231"/>
    </row>
    <row r="245" spans="1:24" x14ac:dyDescent="0.25">
      <c r="B245" s="137" t="s">
        <v>623</v>
      </c>
      <c r="C245" s="28" t="s">
        <v>392</v>
      </c>
      <c r="D245" s="25">
        <v>12</v>
      </c>
      <c r="E245" s="18">
        <v>1012500</v>
      </c>
      <c r="F245" s="48">
        <f t="shared" si="15"/>
        <v>12150000</v>
      </c>
      <c r="G245" s="49">
        <f t="shared" si="16"/>
        <v>8100.0000000000036</v>
      </c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62"/>
      <c r="S245" s="225"/>
      <c r="T245" s="231"/>
      <c r="U245" s="225"/>
      <c r="V245" s="225"/>
      <c r="W245" s="231"/>
      <c r="X245" s="231"/>
    </row>
    <row r="246" spans="1:24" x14ac:dyDescent="0.25">
      <c r="B246" s="137" t="s">
        <v>624</v>
      </c>
      <c r="C246" s="28" t="s">
        <v>392</v>
      </c>
      <c r="D246" s="25">
        <v>12</v>
      </c>
      <c r="E246" s="18">
        <v>450000</v>
      </c>
      <c r="F246" s="48">
        <f t="shared" si="15"/>
        <v>5400000</v>
      </c>
      <c r="G246" s="49">
        <f t="shared" si="16"/>
        <v>3600.0000000000018</v>
      </c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62"/>
      <c r="S246" s="225"/>
      <c r="T246" s="231"/>
      <c r="U246" s="225"/>
      <c r="V246" s="225"/>
      <c r="W246" s="231"/>
      <c r="X246" s="231"/>
    </row>
    <row r="247" spans="1:24" x14ac:dyDescent="0.25">
      <c r="B247" s="137" t="s">
        <v>625</v>
      </c>
      <c r="C247" s="28" t="s">
        <v>392</v>
      </c>
      <c r="D247" s="25">
        <v>12</v>
      </c>
      <c r="E247" s="18">
        <v>562500</v>
      </c>
      <c r="F247" s="48">
        <f t="shared" si="15"/>
        <v>6750000</v>
      </c>
      <c r="G247" s="49">
        <f t="shared" si="16"/>
        <v>4500.0000000000018</v>
      </c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62"/>
      <c r="S247" s="225"/>
      <c r="T247" s="231"/>
      <c r="U247" s="225"/>
      <c r="V247" s="225"/>
      <c r="W247" s="231"/>
      <c r="X247" s="231"/>
    </row>
    <row r="248" spans="1:24" x14ac:dyDescent="0.25">
      <c r="B248" s="137" t="s">
        <v>626</v>
      </c>
      <c r="C248" s="28" t="s">
        <v>392</v>
      </c>
      <c r="D248" s="25">
        <v>12</v>
      </c>
      <c r="E248" s="18">
        <v>337500</v>
      </c>
      <c r="F248" s="48">
        <f t="shared" si="15"/>
        <v>4050000</v>
      </c>
      <c r="G248" s="49">
        <f t="shared" si="16"/>
        <v>2700.0000000000014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/>
      <c r="T248" s="231"/>
      <c r="U248" s="225"/>
      <c r="V248" s="225"/>
      <c r="W248" s="231"/>
      <c r="X248" s="231"/>
    </row>
    <row r="249" spans="1:24" x14ac:dyDescent="0.25">
      <c r="B249" s="137" t="s">
        <v>627</v>
      </c>
      <c r="C249" s="28" t="s">
        <v>392</v>
      </c>
      <c r="D249" s="25">
        <v>12</v>
      </c>
      <c r="E249" s="18">
        <v>1012500</v>
      </c>
      <c r="F249" s="48">
        <f t="shared" si="15"/>
        <v>12150000</v>
      </c>
      <c r="G249" s="49">
        <f t="shared" si="16"/>
        <v>8100.0000000000036</v>
      </c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62"/>
      <c r="S249" s="225">
        <f>R249-F249</f>
        <v>-12150000</v>
      </c>
      <c r="T249" s="231">
        <f>IF(F249=0,0,S249/F249)</f>
        <v>-1</v>
      </c>
      <c r="U249" s="225">
        <f>R249*$C$4</f>
        <v>0</v>
      </c>
      <c r="V249" s="225">
        <f>U249-G249</f>
        <v>-8100.0000000000036</v>
      </c>
      <c r="W249" s="231">
        <f>IF(G249=0,0,V249/G249)</f>
        <v>-1</v>
      </c>
      <c r="X249" s="231"/>
    </row>
    <row r="250" spans="1:24" x14ac:dyDescent="0.25">
      <c r="B250" s="137" t="s">
        <v>628</v>
      </c>
      <c r="C250" s="28" t="s">
        <v>392</v>
      </c>
      <c r="D250" s="25">
        <v>12</v>
      </c>
      <c r="E250" s="18">
        <v>607500</v>
      </c>
      <c r="F250" s="48">
        <f t="shared" si="15"/>
        <v>7290000</v>
      </c>
      <c r="G250" s="49">
        <f t="shared" si="16"/>
        <v>4860.0000000000018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/>
      <c r="T250" s="231"/>
      <c r="U250" s="225"/>
      <c r="V250" s="225"/>
      <c r="W250" s="231"/>
      <c r="X250" s="231"/>
    </row>
    <row r="251" spans="1:24" x14ac:dyDescent="0.25">
      <c r="B251" s="149" t="s">
        <v>629</v>
      </c>
      <c r="C251" s="28" t="s">
        <v>392</v>
      </c>
      <c r="D251" s="25">
        <v>12</v>
      </c>
      <c r="E251" s="18">
        <v>438750</v>
      </c>
      <c r="F251" s="48">
        <f t="shared" si="15"/>
        <v>5265000</v>
      </c>
      <c r="G251" s="49">
        <f t="shared" si="16"/>
        <v>3510.0000000000018</v>
      </c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62"/>
      <c r="S251" s="225"/>
      <c r="T251" s="231"/>
      <c r="U251" s="225"/>
      <c r="V251" s="225"/>
      <c r="W251" s="231"/>
      <c r="X251" s="231"/>
    </row>
    <row r="252" spans="1:24" x14ac:dyDescent="0.25">
      <c r="B252" s="149" t="s">
        <v>630</v>
      </c>
      <c r="C252" s="28" t="s">
        <v>392</v>
      </c>
      <c r="D252" s="25">
        <v>12</v>
      </c>
      <c r="E252" s="18">
        <v>731250</v>
      </c>
      <c r="F252" s="48">
        <f t="shared" si="15"/>
        <v>8775000</v>
      </c>
      <c r="G252" s="49">
        <f t="shared" si="16"/>
        <v>5850.0000000000027</v>
      </c>
      <c r="H252" s="242"/>
      <c r="I252" s="242"/>
      <c r="J252" s="242"/>
      <c r="K252" s="242"/>
      <c r="L252" s="242"/>
      <c r="M252" s="242"/>
      <c r="N252" s="242"/>
      <c r="O252" s="242"/>
      <c r="P252" s="242"/>
      <c r="Q252" s="251"/>
      <c r="R252" s="262"/>
      <c r="S252" s="225"/>
      <c r="T252" s="231"/>
      <c r="U252" s="225"/>
      <c r="V252" s="225"/>
      <c r="W252" s="231"/>
      <c r="X252" s="231"/>
    </row>
    <row r="253" spans="1:24" x14ac:dyDescent="0.25">
      <c r="B253" s="149" t="s">
        <v>631</v>
      </c>
      <c r="C253" s="28" t="s">
        <v>392</v>
      </c>
      <c r="D253" s="25">
        <v>12</v>
      </c>
      <c r="E253" s="18">
        <v>382500</v>
      </c>
      <c r="F253" s="48">
        <f t="shared" si="15"/>
        <v>4590000</v>
      </c>
      <c r="G253" s="49">
        <f t="shared" si="16"/>
        <v>3060.0000000000014</v>
      </c>
      <c r="H253" s="242"/>
      <c r="I253" s="242"/>
      <c r="J253" s="242"/>
      <c r="K253" s="242"/>
      <c r="L253" s="242"/>
      <c r="M253" s="242"/>
      <c r="N253" s="242"/>
      <c r="O253" s="242"/>
      <c r="P253" s="242"/>
      <c r="Q253" s="251"/>
      <c r="R253" s="262"/>
      <c r="S253" s="225">
        <f>R253-F253</f>
        <v>-4590000</v>
      </c>
      <c r="T253" s="231">
        <f>IF(F253=0,0,S253/F253)</f>
        <v>-1</v>
      </c>
      <c r="U253" s="225">
        <f>R253*$C$4</f>
        <v>0</v>
      </c>
      <c r="V253" s="225">
        <f>U253-G253</f>
        <v>-3060.0000000000014</v>
      </c>
      <c r="W253" s="231">
        <f>IF(G253=0,0,V253/G253)</f>
        <v>-1</v>
      </c>
      <c r="X253" s="231"/>
    </row>
    <row r="254" spans="1:24" x14ac:dyDescent="0.25">
      <c r="B254" s="182" t="s">
        <v>35</v>
      </c>
      <c r="C254" s="6"/>
      <c r="D254" s="7"/>
      <c r="E254" s="8"/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51"/>
      <c r="R254" s="257"/>
      <c r="S254" s="225"/>
      <c r="T254" s="231"/>
      <c r="U254" s="225"/>
      <c r="V254" s="225"/>
      <c r="W254" s="231"/>
      <c r="X254" s="231"/>
    </row>
    <row r="255" spans="1:24" x14ac:dyDescent="0.25">
      <c r="B255" s="137" t="s">
        <v>632</v>
      </c>
      <c r="C255" s="28" t="s">
        <v>392</v>
      </c>
      <c r="D255" s="25">
        <v>12</v>
      </c>
      <c r="E255" s="18">
        <v>270000</v>
      </c>
      <c r="F255" s="48">
        <f>D255*E255</f>
        <v>3240000</v>
      </c>
      <c r="G255" s="49">
        <f>F255*C4</f>
        <v>2160.0000000000009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51"/>
      <c r="R255" s="262"/>
      <c r="S255" s="225">
        <f>R255-F255</f>
        <v>-3240000</v>
      </c>
      <c r="T255" s="231">
        <f>IF(F255=0,0,S255/F255)</f>
        <v>-1</v>
      </c>
      <c r="U255" s="225">
        <f>R255*$C$4</f>
        <v>0</v>
      </c>
      <c r="V255" s="225">
        <f>U255-G255</f>
        <v>-2160.0000000000009</v>
      </c>
      <c r="W255" s="231">
        <f>IF(G255=0,0,V255/G255)</f>
        <v>-1</v>
      </c>
      <c r="X255" s="231"/>
    </row>
    <row r="256" spans="1:24" x14ac:dyDescent="0.25">
      <c r="B256" s="137" t="s">
        <v>633</v>
      </c>
      <c r="C256" s="28" t="s">
        <v>392</v>
      </c>
      <c r="D256" s="25">
        <v>12</v>
      </c>
      <c r="E256" s="18">
        <v>262500</v>
      </c>
      <c r="F256" s="48">
        <f>D256*E256</f>
        <v>3150000</v>
      </c>
      <c r="G256" s="49">
        <f>F256*C4</f>
        <v>2100.0000000000009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51"/>
      <c r="R256" s="262"/>
      <c r="S256" s="225">
        <f>R256-F256</f>
        <v>-3150000</v>
      </c>
      <c r="T256" s="231">
        <f>IF(F256=0,0,S256/F256)</f>
        <v>-1</v>
      </c>
      <c r="U256" s="225">
        <f>R256*$C$4</f>
        <v>0</v>
      </c>
      <c r="V256" s="225">
        <f>U256-G256</f>
        <v>-2100.0000000000009</v>
      </c>
      <c r="W256" s="231">
        <f>IF(G256=0,0,V256/G256)</f>
        <v>-1</v>
      </c>
      <c r="X256" s="231"/>
    </row>
    <row r="257" spans="1:25" x14ac:dyDescent="0.25">
      <c r="B257" s="137" t="s">
        <v>634</v>
      </c>
      <c r="C257" s="28" t="s">
        <v>392</v>
      </c>
      <c r="D257" s="25">
        <v>12</v>
      </c>
      <c r="E257" s="18">
        <v>90000</v>
      </c>
      <c r="F257" s="48">
        <f>D257*E257</f>
        <v>1080000</v>
      </c>
      <c r="G257" s="49">
        <f>F257*C4</f>
        <v>720.00000000000034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51"/>
      <c r="R257" s="262"/>
      <c r="S257" s="225">
        <f>R257-F257</f>
        <v>-1080000</v>
      </c>
      <c r="T257" s="231">
        <f>IF(F257=0,0,S257/F257)</f>
        <v>-1</v>
      </c>
      <c r="U257" s="225">
        <f>R257*$C$4</f>
        <v>0</v>
      </c>
      <c r="V257" s="225">
        <f>U257-G257</f>
        <v>-720.00000000000034</v>
      </c>
      <c r="W257" s="231">
        <f>IF(G257=0,0,V257/G257)</f>
        <v>-1</v>
      </c>
      <c r="X257" s="231"/>
    </row>
    <row r="258" spans="1:25" x14ac:dyDescent="0.25">
      <c r="B258" s="182" t="s">
        <v>39</v>
      </c>
      <c r="C258" s="6"/>
      <c r="D258" s="7"/>
      <c r="E258" s="8"/>
      <c r="F258" s="48"/>
      <c r="H258" s="242"/>
      <c r="I258" s="242"/>
      <c r="J258" s="242"/>
      <c r="K258" s="242"/>
      <c r="L258" s="242"/>
      <c r="M258" s="242"/>
      <c r="N258" s="242"/>
      <c r="O258" s="242"/>
      <c r="P258" s="242"/>
      <c r="Q258" s="251"/>
      <c r="R258" s="257"/>
      <c r="S258" s="225"/>
      <c r="T258" s="231"/>
      <c r="U258" s="225"/>
      <c r="V258" s="225"/>
      <c r="W258" s="231"/>
      <c r="X258" s="231"/>
    </row>
    <row r="259" spans="1:25" x14ac:dyDescent="0.25">
      <c r="B259" s="137" t="s">
        <v>40</v>
      </c>
      <c r="C259" s="28" t="s">
        <v>392</v>
      </c>
      <c r="D259" s="25">
        <v>12</v>
      </c>
      <c r="E259" s="18">
        <v>225000</v>
      </c>
      <c r="F259" s="48">
        <f>D259*E259</f>
        <v>2700000</v>
      </c>
      <c r="G259" s="49">
        <f>F259*C4</f>
        <v>1800.0000000000009</v>
      </c>
      <c r="H259" s="242"/>
      <c r="I259" s="242"/>
      <c r="J259" s="242"/>
      <c r="K259" s="242"/>
      <c r="L259" s="242"/>
      <c r="M259" s="242"/>
      <c r="N259" s="242"/>
      <c r="O259" s="242"/>
      <c r="P259" s="242"/>
      <c r="Q259" s="251"/>
      <c r="R259" s="262"/>
      <c r="S259" s="225">
        <f>R259-F259</f>
        <v>-2700000</v>
      </c>
      <c r="T259" s="231">
        <f>IF(F259=0,0,S259/F259)</f>
        <v>-1</v>
      </c>
      <c r="U259" s="225">
        <f>R259*$C$4</f>
        <v>0</v>
      </c>
      <c r="V259" s="225">
        <f>U259-G259</f>
        <v>-1800.0000000000009</v>
      </c>
      <c r="W259" s="231">
        <f>IF(G259=0,0,V259/G259)</f>
        <v>-1</v>
      </c>
      <c r="X259" s="231"/>
    </row>
    <row r="260" spans="1:25" x14ac:dyDescent="0.25">
      <c r="B260" s="182" t="s">
        <v>41</v>
      </c>
      <c r="C260" s="5"/>
      <c r="D260" s="5"/>
      <c r="E260" s="5"/>
      <c r="F260" s="168"/>
      <c r="H260" s="242"/>
      <c r="I260" s="242"/>
      <c r="J260" s="242"/>
      <c r="K260" s="242"/>
      <c r="L260" s="242"/>
      <c r="M260" s="242"/>
      <c r="N260" s="242"/>
      <c r="O260" s="242"/>
      <c r="P260" s="242"/>
      <c r="Q260" s="251"/>
      <c r="R260" s="257"/>
      <c r="S260" s="225"/>
      <c r="T260" s="231"/>
      <c r="U260" s="225"/>
      <c r="V260" s="225"/>
      <c r="W260" s="231"/>
      <c r="X260" s="231"/>
    </row>
    <row r="261" spans="1:25" x14ac:dyDescent="0.25">
      <c r="B261" s="137" t="s">
        <v>586</v>
      </c>
      <c r="C261" s="28" t="s">
        <v>618</v>
      </c>
      <c r="D261" s="25">
        <v>1</v>
      </c>
      <c r="E261" s="18">
        <v>450000</v>
      </c>
      <c r="F261" s="168">
        <f>D261*E261</f>
        <v>450000</v>
      </c>
      <c r="G261" s="49">
        <f>F261*C4</f>
        <v>300.00000000000011</v>
      </c>
      <c r="H261" s="242"/>
      <c r="I261" s="242"/>
      <c r="J261" s="242"/>
      <c r="K261" s="242"/>
      <c r="L261" s="242"/>
      <c r="M261" s="242"/>
      <c r="N261" s="242"/>
      <c r="O261" s="242"/>
      <c r="P261" s="242"/>
      <c r="Q261" s="251"/>
      <c r="R261" s="257"/>
      <c r="S261" s="225"/>
      <c r="T261" s="231"/>
      <c r="U261" s="225"/>
      <c r="V261" s="225"/>
      <c r="W261" s="231"/>
      <c r="X261" s="231"/>
    </row>
    <row r="262" spans="1:25" x14ac:dyDescent="0.25">
      <c r="B262" s="137" t="s">
        <v>635</v>
      </c>
      <c r="C262" s="28" t="s">
        <v>618</v>
      </c>
      <c r="D262" s="25">
        <v>1</v>
      </c>
      <c r="E262" s="18">
        <v>450000</v>
      </c>
      <c r="F262" s="168">
        <f>D262*E262</f>
        <v>450000</v>
      </c>
      <c r="G262" s="49">
        <f>F262*C4</f>
        <v>300.00000000000011</v>
      </c>
      <c r="H262" s="242"/>
      <c r="I262" s="242"/>
      <c r="J262" s="242"/>
      <c r="K262" s="242"/>
      <c r="L262" s="242"/>
      <c r="M262" s="242"/>
      <c r="N262" s="242"/>
      <c r="O262" s="242"/>
      <c r="P262" s="242"/>
      <c r="Q262" s="251"/>
      <c r="R262" s="257"/>
      <c r="S262" s="225"/>
      <c r="T262" s="231"/>
      <c r="U262" s="225"/>
      <c r="V262" s="225"/>
      <c r="W262" s="231"/>
      <c r="X262" s="231"/>
    </row>
    <row r="263" spans="1:25" ht="26.4" x14ac:dyDescent="0.25">
      <c r="B263" s="149" t="s">
        <v>636</v>
      </c>
      <c r="C263" s="28" t="s">
        <v>618</v>
      </c>
      <c r="D263" s="25">
        <v>1</v>
      </c>
      <c r="E263" s="18">
        <v>375000</v>
      </c>
      <c r="F263" s="48">
        <f>D263*E263</f>
        <v>375000</v>
      </c>
      <c r="G263" s="49">
        <f>F263*C4</f>
        <v>250.00000000000011</v>
      </c>
      <c r="H263" s="242"/>
      <c r="I263" s="242"/>
      <c r="J263" s="242"/>
      <c r="K263" s="242"/>
      <c r="L263" s="242"/>
      <c r="M263" s="242"/>
      <c r="N263" s="242"/>
      <c r="O263" s="242"/>
      <c r="P263" s="242"/>
      <c r="Q263" s="251"/>
      <c r="R263" s="262"/>
      <c r="S263" s="225">
        <f>R263-F263</f>
        <v>-375000</v>
      </c>
      <c r="T263" s="231">
        <f>IF(F263=0,0,S263/F263)</f>
        <v>-1</v>
      </c>
      <c r="U263" s="225">
        <f>R263*$C$4</f>
        <v>0</v>
      </c>
      <c r="V263" s="225">
        <f>U263-G263</f>
        <v>-250.00000000000011</v>
      </c>
      <c r="W263" s="231">
        <f>IF(G263=0,0,V263/G263)</f>
        <v>-1</v>
      </c>
      <c r="X263" s="231"/>
    </row>
    <row r="264" spans="1:25" x14ac:dyDescent="0.25">
      <c r="B264" s="149"/>
      <c r="C264" s="6"/>
      <c r="D264" s="7"/>
      <c r="E264" s="8"/>
      <c r="F264" s="48"/>
      <c r="H264" s="242"/>
      <c r="I264" s="242"/>
      <c r="J264" s="242"/>
      <c r="K264" s="242"/>
      <c r="L264" s="242"/>
      <c r="M264" s="242"/>
      <c r="N264" s="242"/>
      <c r="O264" s="242"/>
      <c r="P264" s="242"/>
      <c r="Q264" s="251"/>
      <c r="R264" s="257"/>
      <c r="S264" s="225"/>
      <c r="T264" s="231"/>
      <c r="U264" s="225"/>
      <c r="V264" s="225"/>
      <c r="W264" s="231"/>
      <c r="X264" s="231"/>
    </row>
    <row r="265" spans="1:25" x14ac:dyDescent="0.25">
      <c r="A265" s="177"/>
      <c r="B265" s="177" t="s">
        <v>58</v>
      </c>
      <c r="C265" s="179"/>
      <c r="D265" s="178"/>
      <c r="E265" s="180"/>
      <c r="F265" s="263">
        <f>SUM(F243:F263)</f>
        <v>102165000</v>
      </c>
      <c r="G265" s="319">
        <f>SUM(G243:G263)</f>
        <v>68110.000000000015</v>
      </c>
      <c r="H265" s="246"/>
      <c r="I265" s="246"/>
      <c r="J265" s="246"/>
      <c r="K265" s="246"/>
      <c r="L265" s="246"/>
      <c r="M265" s="246"/>
      <c r="N265" s="246"/>
      <c r="O265" s="246"/>
      <c r="P265" s="246"/>
      <c r="Q265" s="255"/>
      <c r="R265" s="265"/>
      <c r="S265" s="226">
        <f>R265-F265</f>
        <v>-102165000</v>
      </c>
      <c r="T265" s="236">
        <f>IF(F265=0,0,S265/F265)</f>
        <v>-1</v>
      </c>
      <c r="U265" s="226">
        <f>R265*$C$4</f>
        <v>0</v>
      </c>
      <c r="V265" s="226">
        <f>U265-G265</f>
        <v>-68110.000000000015</v>
      </c>
      <c r="W265" s="236">
        <f>IF(G265=0,0,V265/G265)</f>
        <v>-1</v>
      </c>
      <c r="X265" s="236"/>
    </row>
    <row r="266" spans="1:25" x14ac:dyDescent="0.25">
      <c r="A266" s="146"/>
      <c r="B266" s="146"/>
      <c r="C266" s="118"/>
      <c r="D266" s="122"/>
      <c r="E266" s="123"/>
      <c r="F266" s="55">
        <f ca="1">(F265/F268)</f>
        <v>0.12875292274427658</v>
      </c>
      <c r="G266" s="55">
        <f ca="1">(G265/G268)</f>
        <v>0.12875292274427658</v>
      </c>
      <c r="H266" s="247"/>
      <c r="I266" s="248"/>
      <c r="J266" s="248"/>
      <c r="K266" s="248"/>
      <c r="L266" s="248"/>
      <c r="M266" s="248"/>
      <c r="N266" s="248"/>
      <c r="O266" s="248"/>
      <c r="P266" s="248"/>
      <c r="Q266" s="248"/>
      <c r="R266" s="228"/>
      <c r="S266" s="228"/>
      <c r="T266" s="228"/>
      <c r="U266" s="228"/>
      <c r="V266" s="228"/>
      <c r="W266" s="183" t="s">
        <v>180</v>
      </c>
      <c r="X266" s="183"/>
      <c r="Y266" s="53"/>
    </row>
    <row r="267" spans="1:25" x14ac:dyDescent="0.25">
      <c r="F267" s="48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1"/>
      <c r="S267" s="1"/>
      <c r="T267" s="1"/>
      <c r="U267" s="1"/>
      <c r="V267" s="1"/>
    </row>
    <row r="268" spans="1:25" ht="13.8" thickBot="1" x14ac:dyDescent="0.3">
      <c r="A268" s="275"/>
      <c r="B268" s="275" t="s">
        <v>318</v>
      </c>
      <c r="C268" s="276"/>
      <c r="D268" s="277"/>
      <c r="E268" s="274"/>
      <c r="F268" s="278">
        <f ca="1">SUM(F239+F265)</f>
        <v>793496550</v>
      </c>
      <c r="G268" s="278">
        <f ca="1">G239+G265</f>
        <v>528997.70000000019</v>
      </c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175"/>
      <c r="S268" s="175"/>
      <c r="T268" s="175"/>
      <c r="U268" s="175"/>
      <c r="V268" s="175"/>
    </row>
    <row r="269" spans="1:25" ht="13.8" thickTop="1" x14ac:dyDescent="0.25">
      <c r="F269" s="4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"/>
      <c r="S269" s="1"/>
      <c r="T269" s="1"/>
      <c r="U269" s="1"/>
      <c r="V269" s="1"/>
    </row>
    <row r="270" spans="1:25" ht="13.8" thickBot="1" x14ac:dyDescent="0.3">
      <c r="A270" s="184" t="s">
        <v>24</v>
      </c>
      <c r="B270" s="185"/>
      <c r="C270" s="186"/>
      <c r="D270" s="187"/>
      <c r="E270" s="188"/>
      <c r="F270" s="56">
        <f ca="1">SUM(F268-F73)</f>
        <v>793496550</v>
      </c>
      <c r="G270" s="56">
        <f ca="1">SUM(G268-G73)</f>
        <v>528997.70000000019</v>
      </c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229"/>
      <c r="S270" s="229"/>
      <c r="T270" s="229"/>
      <c r="U270" s="229"/>
      <c r="V270" s="229"/>
    </row>
    <row r="271" spans="1:25" ht="13.8" thickTop="1" x14ac:dyDescent="0.25">
      <c r="F271" s="74"/>
    </row>
    <row r="272" spans="1:25" hidden="1" x14ac:dyDescent="0.25">
      <c r="A272" s="70" t="s">
        <v>15</v>
      </c>
      <c r="F272" s="74"/>
    </row>
    <row r="273" spans="2:22" hidden="1" x14ac:dyDescent="0.25">
      <c r="F273" s="74"/>
    </row>
    <row r="274" spans="2:22" ht="15" hidden="1" x14ac:dyDescent="0.4">
      <c r="B274" s="190" t="s">
        <v>16</v>
      </c>
      <c r="D274" s="191" t="s">
        <v>26</v>
      </c>
      <c r="F274" s="393" t="s">
        <v>17</v>
      </c>
      <c r="G274" s="394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</row>
    <row r="275" spans="2:22" ht="15" hidden="1" x14ac:dyDescent="0.4">
      <c r="D275" s="191"/>
      <c r="F275" s="74"/>
    </row>
    <row r="276" spans="2:22" hidden="1" x14ac:dyDescent="0.25">
      <c r="F276" s="74"/>
    </row>
    <row r="277" spans="2:22" hidden="1" x14ac:dyDescent="0.25">
      <c r="F277" s="74"/>
    </row>
    <row r="278" spans="2:22" hidden="1" x14ac:dyDescent="0.25">
      <c r="F278" s="74"/>
    </row>
    <row r="279" spans="2:22" hidden="1" x14ac:dyDescent="0.25">
      <c r="F279" s="74"/>
    </row>
    <row r="280" spans="2:22" hidden="1" x14ac:dyDescent="0.25">
      <c r="F280" s="74"/>
    </row>
    <row r="281" spans="2:22" x14ac:dyDescent="0.25">
      <c r="F281" s="74"/>
    </row>
    <row r="282" spans="2:22" x14ac:dyDescent="0.25">
      <c r="F282" s="74"/>
    </row>
    <row r="283" spans="2:22" x14ac:dyDescent="0.25">
      <c r="F283" s="74"/>
    </row>
    <row r="284" spans="2:22" x14ac:dyDescent="0.25">
      <c r="F284" s="74"/>
    </row>
    <row r="285" spans="2:22" x14ac:dyDescent="0.25">
      <c r="F285" s="74"/>
    </row>
    <row r="286" spans="2:22" x14ac:dyDescent="0.25">
      <c r="F286" s="74"/>
    </row>
    <row r="287" spans="2:22" x14ac:dyDescent="0.25">
      <c r="F287" s="74"/>
    </row>
    <row r="288" spans="2:22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  <row r="1876" spans="6:6" x14ac:dyDescent="0.25">
      <c r="F1876" s="74"/>
    </row>
    <row r="1877" spans="6:6" x14ac:dyDescent="0.25">
      <c r="F1877" s="74"/>
    </row>
    <row r="1878" spans="6:6" x14ac:dyDescent="0.25">
      <c r="F1878" s="74"/>
    </row>
    <row r="1879" spans="6:6" x14ac:dyDescent="0.25">
      <c r="F1879" s="74"/>
    </row>
    <row r="1880" spans="6:6" x14ac:dyDescent="0.25">
      <c r="F1880" s="74"/>
    </row>
    <row r="1881" spans="6:6" x14ac:dyDescent="0.25">
      <c r="F1881" s="74"/>
    </row>
    <row r="1882" spans="6:6" x14ac:dyDescent="0.25">
      <c r="F1882" s="74"/>
    </row>
    <row r="1883" spans="6:6" x14ac:dyDescent="0.25">
      <c r="F1883" s="74"/>
    </row>
    <row r="1884" spans="6:6" x14ac:dyDescent="0.25">
      <c r="F1884" s="74"/>
    </row>
    <row r="1885" spans="6:6" x14ac:dyDescent="0.25">
      <c r="F1885" s="74"/>
    </row>
    <row r="1886" spans="6:6" x14ac:dyDescent="0.25">
      <c r="F1886" s="74"/>
    </row>
    <row r="1887" spans="6:6" x14ac:dyDescent="0.25">
      <c r="F1887" s="74"/>
    </row>
    <row r="1888" spans="6:6" x14ac:dyDescent="0.25">
      <c r="F1888" s="74"/>
    </row>
  </sheetData>
  <mergeCells count="3">
    <mergeCell ref="A1:G1"/>
    <mergeCell ref="H76:Q76"/>
    <mergeCell ref="F274:G274"/>
  </mergeCells>
  <conditionalFormatting sqref="F266:V266">
    <cfRule type="cellIs" dxfId="4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5"/>
  <sheetViews>
    <sheetView view="pageBreakPreview" zoomScale="90" zoomScaleNormal="100" zoomScaleSheetLayoutView="90" workbookViewId="0">
      <pane ySplit="78" topLeftCell="A251" activePane="bottomLeft" state="frozen"/>
      <selection pane="bottomLeft" activeCell="F258" sqref="F258"/>
    </sheetView>
  </sheetViews>
  <sheetFormatPr defaultColWidth="9.109375" defaultRowHeight="13.2" x14ac:dyDescent="0.25"/>
  <cols>
    <col min="1" max="1" width="7.109375" style="70" customWidth="1"/>
    <col min="2" max="2" width="37.44140625" style="49" customWidth="1"/>
    <col min="3" max="3" width="11.33203125" style="71" customWidth="1"/>
    <col min="4" max="4" width="10.33203125" style="72" bestFit="1" customWidth="1"/>
    <col min="5" max="5" width="12.109375" style="73" customWidth="1"/>
    <col min="6" max="6" width="15.5546875" style="73" customWidth="1"/>
    <col min="7" max="7" width="12.109375" style="49" customWidth="1"/>
    <col min="8" max="17" width="10.109375" style="49" hidden="1" customWidth="1"/>
    <col min="18" max="19" width="13.33203125" style="49" hidden="1" customWidth="1"/>
    <col min="20" max="22" width="10.109375" style="49" hidden="1" customWidth="1"/>
    <col min="23" max="24" width="9.109375" style="49" hidden="1" customWidth="1"/>
    <col min="25" max="25" width="18.33203125" style="49" customWidth="1"/>
    <col min="26" max="16384" width="9.109375" style="49"/>
  </cols>
  <sheetData>
    <row r="1" spans="1:27" x14ac:dyDescent="0.25">
      <c r="A1" s="387" t="s">
        <v>62</v>
      </c>
      <c r="B1" s="388"/>
      <c r="C1" s="388"/>
      <c r="D1" s="388"/>
      <c r="E1" s="388"/>
      <c r="F1" s="388"/>
      <c r="G1" s="38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7" x14ac:dyDescent="0.25">
      <c r="A2" s="67"/>
      <c r="B2" s="68"/>
      <c r="C2" s="68"/>
      <c r="D2" s="68"/>
      <c r="E2" s="68"/>
      <c r="F2" s="68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7" x14ac:dyDescent="0.25">
      <c r="A3" s="70" t="s">
        <v>10</v>
      </c>
      <c r="F3" s="74"/>
    </row>
    <row r="4" spans="1:27" x14ac:dyDescent="0.25">
      <c r="B4" s="75" t="s">
        <v>25</v>
      </c>
      <c r="C4" s="294">
        <v>4.6499999999999996E-3</v>
      </c>
      <c r="F4" s="74"/>
      <c r="Y4" s="77"/>
    </row>
    <row r="5" spans="1:27" x14ac:dyDescent="0.25">
      <c r="B5" s="78" t="s">
        <v>752</v>
      </c>
      <c r="F5" s="74"/>
    </row>
    <row r="6" spans="1:27" x14ac:dyDescent="0.25">
      <c r="B6" s="79"/>
    </row>
    <row r="7" spans="1:27" x14ac:dyDescent="0.25">
      <c r="A7" s="70" t="s">
        <v>23</v>
      </c>
      <c r="C7" s="71" t="s">
        <v>764</v>
      </c>
    </row>
    <row r="8" spans="1:27" x14ac:dyDescent="0.25">
      <c r="A8" s="70" t="s">
        <v>63</v>
      </c>
      <c r="C8" s="79" t="s">
        <v>837</v>
      </c>
    </row>
    <row r="9" spans="1:27" x14ac:dyDescent="0.25">
      <c r="A9" s="70" t="s">
        <v>64</v>
      </c>
      <c r="C9" s="77" t="s">
        <v>835</v>
      </c>
    </row>
    <row r="10" spans="1:27" x14ac:dyDescent="0.25">
      <c r="A10" s="70" t="s">
        <v>52</v>
      </c>
      <c r="C10" s="71" t="s">
        <v>841</v>
      </c>
    </row>
    <row r="11" spans="1:27" hidden="1" x14ac:dyDescent="0.25">
      <c r="B11" s="70"/>
      <c r="C11" s="81"/>
      <c r="D11" s="82"/>
      <c r="E11" s="67"/>
      <c r="F11" s="83" t="s">
        <v>65</v>
      </c>
      <c r="G11" s="83" t="s">
        <v>65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4"/>
      <c r="X11" s="84"/>
      <c r="Y11" s="84"/>
      <c r="Z11" s="84"/>
      <c r="AA11" s="84"/>
    </row>
    <row r="12" spans="1:27" hidden="1" x14ac:dyDescent="0.25">
      <c r="B12" s="70"/>
      <c r="C12" s="81"/>
      <c r="D12" s="82"/>
      <c r="E12" s="67"/>
      <c r="F12" s="83" t="s">
        <v>5</v>
      </c>
      <c r="G12" s="83" t="s">
        <v>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  <c r="X12" s="84"/>
      <c r="Y12" s="84"/>
      <c r="Z12" s="84"/>
      <c r="AA12" s="84"/>
    </row>
    <row r="13" spans="1:27" hidden="1" x14ac:dyDescent="0.25">
      <c r="A13" s="85" t="s">
        <v>43</v>
      </c>
      <c r="C13" s="81"/>
      <c r="D13" s="82"/>
      <c r="E13" s="86"/>
      <c r="F13" s="86" t="s">
        <v>20</v>
      </c>
      <c r="G13" s="87" t="s">
        <v>4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4"/>
      <c r="X13" s="84"/>
      <c r="Y13" s="84"/>
      <c r="Z13" s="84"/>
      <c r="AA13" s="84"/>
    </row>
    <row r="14" spans="1:27" s="89" customFormat="1" hidden="1" x14ac:dyDescent="0.25">
      <c r="A14" s="88"/>
      <c r="C14" s="90"/>
      <c r="D14" s="91"/>
      <c r="E14" s="92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s="1" customFormat="1" hidden="1" x14ac:dyDescent="0.25">
      <c r="A15" s="94"/>
      <c r="C15" s="95"/>
      <c r="D15" s="96"/>
      <c r="E15" s="97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1:27" s="103" customFormat="1" hidden="1" x14ac:dyDescent="0.25">
      <c r="A16" s="99" t="s">
        <v>21</v>
      </c>
      <c r="B16" s="53"/>
      <c r="C16" s="100"/>
      <c r="D16" s="101"/>
      <c r="E16" s="102"/>
      <c r="F16" s="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 s="103" customFormat="1" hidden="1" x14ac:dyDescent="0.25">
      <c r="A17" s="99" t="s">
        <v>29</v>
      </c>
      <c r="B17" s="104" t="s">
        <v>30</v>
      </c>
      <c r="C17" s="99" t="s">
        <v>168</v>
      </c>
      <c r="D17" s="99" t="s">
        <v>61</v>
      </c>
      <c r="E17" s="10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3"/>
      <c r="X17" s="53"/>
      <c r="Y17" s="53"/>
      <c r="Z17" s="53"/>
    </row>
    <row r="18" spans="1:26" s="103" customFormat="1" hidden="1" x14ac:dyDescent="0.25">
      <c r="A18" s="105"/>
      <c r="B18" s="106"/>
      <c r="C18" s="2" t="s">
        <v>169</v>
      </c>
      <c r="D18" s="107"/>
      <c r="E18" s="102"/>
      <c r="F18" s="108">
        <v>0</v>
      </c>
      <c r="G18" s="2">
        <f>F18*C4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3"/>
      <c r="X18" s="53"/>
      <c r="Y18" s="53"/>
      <c r="Z18" s="53"/>
    </row>
    <row r="19" spans="1:26" s="103" customFormat="1" hidden="1" x14ac:dyDescent="0.25">
      <c r="A19" s="105"/>
      <c r="B19" s="106"/>
      <c r="C19" s="2" t="s">
        <v>170</v>
      </c>
      <c r="D19" s="107"/>
      <c r="E19" s="102"/>
      <c r="F19" s="108">
        <v>0</v>
      </c>
      <c r="G19" s="2">
        <f>F19*C4</f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3"/>
      <c r="X19" s="53"/>
      <c r="Y19" s="53"/>
      <c r="Z19" s="53"/>
    </row>
    <row r="20" spans="1:26" s="103" customFormat="1" hidden="1" x14ac:dyDescent="0.25">
      <c r="A20" s="105"/>
      <c r="B20" s="106"/>
      <c r="C20" s="2" t="s">
        <v>171</v>
      </c>
      <c r="D20" s="107"/>
      <c r="E20" s="102"/>
      <c r="F20" s="108">
        <v>0</v>
      </c>
      <c r="G20" s="2">
        <f>F20*C4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3"/>
      <c r="X20" s="53"/>
      <c r="Y20" s="53"/>
      <c r="Z20" s="53"/>
    </row>
    <row r="21" spans="1:26" s="103" customFormat="1" hidden="1" x14ac:dyDescent="0.25">
      <c r="A21" s="105"/>
      <c r="B21" s="106"/>
      <c r="C21" s="2" t="s">
        <v>172</v>
      </c>
      <c r="D21" s="107"/>
      <c r="E21" s="102"/>
      <c r="F21" s="108">
        <v>0</v>
      </c>
      <c r="G21" s="2">
        <f>F21*C4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3"/>
      <c r="X21" s="53"/>
      <c r="Y21" s="53"/>
      <c r="Z21" s="53"/>
    </row>
    <row r="22" spans="1:26" s="103" customFormat="1" hidden="1" x14ac:dyDescent="0.25">
      <c r="A22" s="105"/>
      <c r="B22" s="106"/>
      <c r="C22" s="2" t="s">
        <v>173</v>
      </c>
      <c r="D22" s="107"/>
      <c r="E22" s="102"/>
      <c r="F22" s="108">
        <v>0</v>
      </c>
      <c r="G22" s="2">
        <f>F22*C4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3"/>
      <c r="X22" s="53"/>
      <c r="Y22" s="53"/>
      <c r="Z22" s="53"/>
    </row>
    <row r="23" spans="1:26" s="103" customFormat="1" hidden="1" x14ac:dyDescent="0.25">
      <c r="A23" s="105"/>
      <c r="B23" s="106"/>
      <c r="C23" s="2" t="s">
        <v>174</v>
      </c>
      <c r="D23" s="107"/>
      <c r="E23" s="102"/>
      <c r="F23" s="108">
        <v>0</v>
      </c>
      <c r="G23" s="2">
        <f>F23*C4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3"/>
      <c r="X23" s="53"/>
      <c r="Y23" s="53"/>
      <c r="Z23" s="53"/>
    </row>
    <row r="24" spans="1:26" s="103" customFormat="1" hidden="1" x14ac:dyDescent="0.25">
      <c r="A24" s="105"/>
      <c r="B24" s="106"/>
      <c r="C24" s="2" t="s">
        <v>175</v>
      </c>
      <c r="D24" s="107"/>
      <c r="E24" s="102"/>
      <c r="F24" s="108">
        <v>0</v>
      </c>
      <c r="G24" s="2">
        <f>F24*C4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3"/>
      <c r="X24" s="53"/>
      <c r="Y24" s="53"/>
      <c r="Z24" s="53"/>
    </row>
    <row r="25" spans="1:26" s="103" customFormat="1" hidden="1" x14ac:dyDescent="0.25">
      <c r="A25" s="105"/>
      <c r="B25" s="106"/>
      <c r="C25" s="2" t="s">
        <v>176</v>
      </c>
      <c r="D25" s="107"/>
      <c r="E25" s="102"/>
      <c r="F25" s="108">
        <v>0</v>
      </c>
      <c r="G25" s="2">
        <f>F25*C4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3"/>
      <c r="X25" s="53"/>
      <c r="Y25" s="53"/>
      <c r="Z25" s="53"/>
    </row>
    <row r="26" spans="1:26" s="103" customFormat="1" hidden="1" x14ac:dyDescent="0.25">
      <c r="A26" s="105"/>
      <c r="B26" s="106"/>
      <c r="C26" s="2" t="s">
        <v>177</v>
      </c>
      <c r="D26" s="107"/>
      <c r="E26" s="102"/>
      <c r="F26" s="108">
        <v>0</v>
      </c>
      <c r="G26" s="2">
        <f>F26*C4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3"/>
      <c r="X26" s="53"/>
      <c r="Y26" s="53"/>
      <c r="Z26" s="53"/>
    </row>
    <row r="27" spans="1:26" s="103" customFormat="1" hidden="1" x14ac:dyDescent="0.25">
      <c r="A27" s="105"/>
      <c r="B27" s="106"/>
      <c r="C27" s="2" t="s">
        <v>178</v>
      </c>
      <c r="D27" s="107"/>
      <c r="E27" s="102"/>
      <c r="F27" s="108">
        <v>0</v>
      </c>
      <c r="G27" s="2">
        <f>F27*C4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3"/>
      <c r="X27" s="53"/>
      <c r="Y27" s="53"/>
      <c r="Z27" s="53"/>
    </row>
    <row r="28" spans="1:26" s="103" customFormat="1" hidden="1" x14ac:dyDescent="0.25">
      <c r="A28" s="99"/>
      <c r="B28" s="104" t="s">
        <v>167</v>
      </c>
      <c r="C28" s="100"/>
      <c r="D28" s="101"/>
      <c r="E28" s="102"/>
      <c r="F28" s="2">
        <f>SUM(F18:F27)</f>
        <v>0</v>
      </c>
      <c r="G28" s="2">
        <f>SUM(G18:G27)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3"/>
      <c r="X28" s="53"/>
      <c r="Y28" s="53"/>
      <c r="Z28" s="53"/>
    </row>
    <row r="29" spans="1:26" s="103" customFormat="1" hidden="1" x14ac:dyDescent="0.25">
      <c r="A29" s="99"/>
      <c r="B29" s="109"/>
      <c r="C29" s="100"/>
      <c r="D29" s="101"/>
      <c r="E29" s="10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3"/>
      <c r="X29" s="53"/>
      <c r="Y29" s="53"/>
      <c r="Z29" s="53"/>
    </row>
    <row r="30" spans="1:26" s="103" customFormat="1" hidden="1" x14ac:dyDescent="0.25">
      <c r="A30" s="99" t="s">
        <v>31</v>
      </c>
      <c r="B30" s="53"/>
      <c r="C30" s="100"/>
      <c r="D30" s="101"/>
      <c r="E30" s="10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3"/>
      <c r="X30" s="53"/>
      <c r="Y30" s="53"/>
      <c r="Z30" s="53"/>
    </row>
    <row r="31" spans="1:26" s="103" customFormat="1" hidden="1" x14ac:dyDescent="0.25">
      <c r="A31" s="99" t="s">
        <v>29</v>
      </c>
      <c r="B31" s="104" t="s">
        <v>30</v>
      </c>
      <c r="C31" s="100" t="s">
        <v>168</v>
      </c>
      <c r="D31" s="101"/>
      <c r="E31" s="10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3"/>
      <c r="X31" s="53"/>
      <c r="Y31" s="53"/>
      <c r="Z31" s="53"/>
    </row>
    <row r="32" spans="1:26" s="103" customFormat="1" hidden="1" x14ac:dyDescent="0.25">
      <c r="A32" s="110"/>
      <c r="B32" s="106"/>
      <c r="C32" s="111"/>
      <c r="D32" s="101"/>
      <c r="E32" s="102"/>
      <c r="F32" s="108">
        <v>0</v>
      </c>
      <c r="G32" s="2">
        <f>(C4)*F32</f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3"/>
      <c r="X32" s="53"/>
      <c r="Y32" s="53"/>
      <c r="Z32" s="53"/>
    </row>
    <row r="33" spans="1:26" s="103" customFormat="1" hidden="1" x14ac:dyDescent="0.25">
      <c r="A33" s="110"/>
      <c r="B33" s="106"/>
      <c r="C33" s="111"/>
      <c r="D33" s="101"/>
      <c r="E33" s="102"/>
      <c r="F33" s="108">
        <v>0</v>
      </c>
      <c r="G33" s="2">
        <f>F33*C4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3"/>
      <c r="X33" s="53"/>
      <c r="Y33" s="53"/>
      <c r="Z33" s="53"/>
    </row>
    <row r="34" spans="1:26" s="103" customFormat="1" hidden="1" x14ac:dyDescent="0.25">
      <c r="A34" s="110"/>
      <c r="B34" s="106"/>
      <c r="C34" s="111"/>
      <c r="D34" s="101"/>
      <c r="E34" s="102"/>
      <c r="F34" s="108">
        <v>0</v>
      </c>
      <c r="G34" s="2">
        <f>F34*C4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3"/>
      <c r="X34" s="53"/>
      <c r="Y34" s="53"/>
      <c r="Z34" s="53"/>
    </row>
    <row r="35" spans="1:26" s="103" customFormat="1" hidden="1" x14ac:dyDescent="0.25">
      <c r="A35" s="110"/>
      <c r="B35" s="106"/>
      <c r="C35" s="111"/>
      <c r="D35" s="101"/>
      <c r="E35" s="102"/>
      <c r="F35" s="108">
        <v>0</v>
      </c>
      <c r="G35" s="2">
        <f>F35*C4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3"/>
      <c r="X35" s="53"/>
      <c r="Y35" s="53"/>
      <c r="Z35" s="53"/>
    </row>
    <row r="36" spans="1:26" s="103" customFormat="1" hidden="1" x14ac:dyDescent="0.25">
      <c r="A36" s="110"/>
      <c r="B36" s="106"/>
      <c r="C36" s="111"/>
      <c r="D36" s="101"/>
      <c r="E36" s="102"/>
      <c r="F36" s="108">
        <v>0</v>
      </c>
      <c r="G36" s="2">
        <f>F36*C4</f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3"/>
      <c r="X36" s="53"/>
      <c r="Y36" s="53"/>
      <c r="Z36" s="53"/>
    </row>
    <row r="37" spans="1:26" s="103" customFormat="1" hidden="1" x14ac:dyDescent="0.25">
      <c r="A37" s="110"/>
      <c r="B37" s="106"/>
      <c r="C37" s="111"/>
      <c r="D37" s="101"/>
      <c r="E37" s="102"/>
      <c r="F37" s="108">
        <v>0</v>
      </c>
      <c r="G37" s="2">
        <f>F37*C4</f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3"/>
      <c r="X37" s="53"/>
      <c r="Y37" s="53"/>
      <c r="Z37" s="53"/>
    </row>
    <row r="38" spans="1:26" s="103" customFormat="1" hidden="1" x14ac:dyDescent="0.25">
      <c r="A38" s="110"/>
      <c r="B38" s="106"/>
      <c r="C38" s="111"/>
      <c r="D38" s="101"/>
      <c r="E38" s="102"/>
      <c r="F38" s="108">
        <v>0</v>
      </c>
      <c r="G38" s="2">
        <f>F38*C4</f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3"/>
      <c r="X38" s="53"/>
      <c r="Y38" s="53"/>
      <c r="Z38" s="53"/>
    </row>
    <row r="39" spans="1:26" s="103" customFormat="1" hidden="1" x14ac:dyDescent="0.25">
      <c r="A39" s="110"/>
      <c r="B39" s="106"/>
      <c r="C39" s="111"/>
      <c r="D39" s="101"/>
      <c r="E39" s="102"/>
      <c r="F39" s="108">
        <v>0</v>
      </c>
      <c r="G39" s="2">
        <f>F39*C4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3"/>
      <c r="X39" s="53"/>
      <c r="Y39" s="53"/>
      <c r="Z39" s="53"/>
    </row>
    <row r="40" spans="1:26" s="103" customFormat="1" hidden="1" x14ac:dyDescent="0.25">
      <c r="A40" s="110"/>
      <c r="B40" s="106"/>
      <c r="C40" s="111"/>
      <c r="D40" s="101"/>
      <c r="E40" s="102"/>
      <c r="F40" s="108">
        <v>0</v>
      </c>
      <c r="G40" s="2">
        <f>F40*C4</f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3"/>
      <c r="X40" s="53"/>
      <c r="Y40" s="53"/>
      <c r="Z40" s="53"/>
    </row>
    <row r="41" spans="1:26" s="103" customFormat="1" hidden="1" x14ac:dyDescent="0.25">
      <c r="A41" s="110"/>
      <c r="B41" s="106"/>
      <c r="C41" s="111"/>
      <c r="D41" s="101"/>
      <c r="E41" s="102"/>
      <c r="F41" s="108">
        <v>0</v>
      </c>
      <c r="G41" s="2">
        <f>F41*C4</f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3"/>
      <c r="X41" s="53"/>
      <c r="Y41" s="53"/>
      <c r="Z41" s="53"/>
    </row>
    <row r="42" spans="1:26" s="103" customFormat="1" hidden="1" x14ac:dyDescent="0.25">
      <c r="A42" s="99"/>
      <c r="B42" s="104" t="s">
        <v>167</v>
      </c>
      <c r="C42" s="100"/>
      <c r="D42" s="101"/>
      <c r="E42" s="102"/>
      <c r="F42" s="2">
        <f>SUM(F32:F41)</f>
        <v>0</v>
      </c>
      <c r="G42" s="2">
        <f>SUM(G32:G41)</f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3"/>
      <c r="X42" s="53"/>
      <c r="Y42" s="53"/>
      <c r="Z42" s="53"/>
    </row>
    <row r="43" spans="1:26" s="103" customFormat="1" hidden="1" x14ac:dyDescent="0.25">
      <c r="A43" s="99"/>
      <c r="B43" s="99" t="s">
        <v>60</v>
      </c>
      <c r="C43" s="100"/>
      <c r="D43" s="101"/>
      <c r="E43" s="102"/>
      <c r="F43" s="112">
        <v>0</v>
      </c>
      <c r="G43" s="2">
        <f>F43*C4</f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3"/>
      <c r="X43" s="53"/>
      <c r="Y43" s="53"/>
      <c r="Z43" s="53"/>
    </row>
    <row r="44" spans="1:26" s="103" customFormat="1" hidden="1" x14ac:dyDescent="0.25">
      <c r="A44" s="99"/>
      <c r="B44" s="53"/>
      <c r="C44" s="100"/>
      <c r="D44" s="101"/>
      <c r="E44" s="10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3"/>
      <c r="X44" s="53"/>
      <c r="Y44" s="53"/>
      <c r="Z44" s="53"/>
    </row>
    <row r="45" spans="1:26" s="103" customFormat="1" hidden="1" x14ac:dyDescent="0.25">
      <c r="A45" s="99" t="s">
        <v>32</v>
      </c>
      <c r="B45" s="53"/>
      <c r="C45" s="100"/>
      <c r="D45" s="101"/>
      <c r="E45" s="10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3"/>
      <c r="X45" s="53"/>
      <c r="Y45" s="53"/>
      <c r="Z45" s="53"/>
    </row>
    <row r="46" spans="1:26" s="103" customFormat="1" hidden="1" x14ac:dyDescent="0.25">
      <c r="A46" s="99" t="s">
        <v>29</v>
      </c>
      <c r="B46" s="104" t="s">
        <v>30</v>
      </c>
      <c r="C46" s="100" t="s">
        <v>168</v>
      </c>
      <c r="D46" s="101"/>
      <c r="E46" s="10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3"/>
      <c r="X46" s="53"/>
      <c r="Y46" s="53"/>
      <c r="Z46" s="53"/>
    </row>
    <row r="47" spans="1:26" s="103" customFormat="1" hidden="1" x14ac:dyDescent="0.25">
      <c r="A47" s="110"/>
      <c r="B47" s="106"/>
      <c r="C47" s="111"/>
      <c r="D47" s="101"/>
      <c r="E47" s="102"/>
      <c r="F47" s="108">
        <v>0</v>
      </c>
      <c r="G47" s="2">
        <f>F47*C4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3"/>
      <c r="X47" s="53"/>
      <c r="Y47" s="53"/>
      <c r="Z47" s="53"/>
    </row>
    <row r="48" spans="1:26" s="103" customFormat="1" hidden="1" x14ac:dyDescent="0.25">
      <c r="A48" s="110"/>
      <c r="B48" s="106"/>
      <c r="C48" s="111"/>
      <c r="D48" s="101"/>
      <c r="E48" s="102"/>
      <c r="F48" s="108">
        <v>0</v>
      </c>
      <c r="G48" s="2">
        <f>F48*C4</f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3"/>
      <c r="X48" s="53"/>
      <c r="Y48" s="53"/>
      <c r="Z48" s="53"/>
    </row>
    <row r="49" spans="1:26" s="103" customFormat="1" hidden="1" x14ac:dyDescent="0.25">
      <c r="A49" s="110"/>
      <c r="B49" s="106"/>
      <c r="C49" s="111"/>
      <c r="D49" s="101"/>
      <c r="E49" s="102"/>
      <c r="F49" s="108">
        <v>0</v>
      </c>
      <c r="G49" s="2">
        <f>F49*C4</f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3"/>
      <c r="X49" s="53"/>
      <c r="Y49" s="53"/>
      <c r="Z49" s="53"/>
    </row>
    <row r="50" spans="1:26" s="103" customFormat="1" hidden="1" x14ac:dyDescent="0.25">
      <c r="A50" s="110"/>
      <c r="B50" s="106"/>
      <c r="C50" s="111"/>
      <c r="D50" s="101"/>
      <c r="E50" s="102"/>
      <c r="F50" s="108">
        <v>0</v>
      </c>
      <c r="G50" s="2">
        <f>F50*C4</f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3"/>
      <c r="X50" s="53"/>
      <c r="Y50" s="53"/>
      <c r="Z50" s="53"/>
    </row>
    <row r="51" spans="1:26" s="103" customFormat="1" hidden="1" x14ac:dyDescent="0.25">
      <c r="A51" s="110"/>
      <c r="B51" s="106"/>
      <c r="C51" s="111"/>
      <c r="D51" s="101"/>
      <c r="E51" s="102"/>
      <c r="F51" s="108">
        <v>0</v>
      </c>
      <c r="G51" s="2">
        <f>F51*C4</f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3"/>
      <c r="X51" s="53"/>
      <c r="Y51" s="53"/>
      <c r="Z51" s="53"/>
    </row>
    <row r="52" spans="1:26" s="103" customFormat="1" hidden="1" x14ac:dyDescent="0.25">
      <c r="A52" s="110"/>
      <c r="B52" s="106"/>
      <c r="C52" s="111"/>
      <c r="D52" s="101"/>
      <c r="E52" s="102"/>
      <c r="F52" s="108">
        <v>0</v>
      </c>
      <c r="G52" s="2">
        <f>F52*C4</f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3"/>
      <c r="X52" s="53"/>
      <c r="Y52" s="53"/>
      <c r="Z52" s="53"/>
    </row>
    <row r="53" spans="1:26" s="103" customFormat="1" hidden="1" x14ac:dyDescent="0.25">
      <c r="A53" s="110"/>
      <c r="B53" s="106"/>
      <c r="C53" s="111"/>
      <c r="D53" s="101"/>
      <c r="E53" s="102"/>
      <c r="F53" s="108">
        <v>0</v>
      </c>
      <c r="G53" s="2">
        <f>F53*C4</f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3"/>
      <c r="X53" s="53"/>
      <c r="Y53" s="53"/>
      <c r="Z53" s="53"/>
    </row>
    <row r="54" spans="1:26" s="103" customFormat="1" hidden="1" x14ac:dyDescent="0.25">
      <c r="A54" s="110"/>
      <c r="B54" s="106"/>
      <c r="C54" s="111"/>
      <c r="D54" s="101"/>
      <c r="E54" s="102"/>
      <c r="F54" s="108">
        <v>0</v>
      </c>
      <c r="G54" s="2">
        <f>F54*C4</f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3"/>
      <c r="X54" s="53"/>
      <c r="Y54" s="53"/>
      <c r="Z54" s="53"/>
    </row>
    <row r="55" spans="1:26" s="103" customFormat="1" hidden="1" x14ac:dyDescent="0.25">
      <c r="A55" s="110"/>
      <c r="B55" s="106"/>
      <c r="C55" s="111"/>
      <c r="D55" s="101"/>
      <c r="E55" s="102"/>
      <c r="F55" s="108">
        <v>0</v>
      </c>
      <c r="G55" s="2">
        <f>F55*C4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3"/>
      <c r="X55" s="53"/>
      <c r="Y55" s="53"/>
      <c r="Z55" s="53"/>
    </row>
    <row r="56" spans="1:26" s="103" customFormat="1" hidden="1" x14ac:dyDescent="0.25">
      <c r="A56" s="110"/>
      <c r="B56" s="106"/>
      <c r="C56" s="111"/>
      <c r="D56" s="101"/>
      <c r="E56" s="102"/>
      <c r="F56" s="108">
        <v>0</v>
      </c>
      <c r="G56" s="2">
        <f>F56*C4</f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3"/>
      <c r="X56" s="53"/>
      <c r="Y56" s="53"/>
      <c r="Z56" s="53"/>
    </row>
    <row r="57" spans="1:26" s="103" customFormat="1" hidden="1" x14ac:dyDescent="0.25">
      <c r="A57" s="99"/>
      <c r="B57" s="104" t="s">
        <v>167</v>
      </c>
      <c r="C57" s="100"/>
      <c r="D57" s="101"/>
      <c r="E57" s="102"/>
      <c r="F57" s="4">
        <f>SUM(F47:F56)</f>
        <v>0</v>
      </c>
      <c r="G57" s="2">
        <f>SUM(G47:G56)</f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3"/>
      <c r="X57" s="53"/>
      <c r="Y57" s="53"/>
      <c r="Z57" s="53"/>
    </row>
    <row r="58" spans="1:26" s="103" customFormat="1" hidden="1" x14ac:dyDescent="0.25">
      <c r="A58" s="99"/>
      <c r="B58" s="53"/>
      <c r="C58" s="100"/>
      <c r="D58" s="101"/>
      <c r="E58" s="10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3"/>
      <c r="X58" s="53"/>
      <c r="Y58" s="53"/>
      <c r="Z58" s="53"/>
    </row>
    <row r="59" spans="1:26" s="103" customFormat="1" hidden="1" x14ac:dyDescent="0.25">
      <c r="A59" s="99" t="s">
        <v>22</v>
      </c>
      <c r="B59" s="53"/>
      <c r="C59" s="100"/>
      <c r="D59" s="101"/>
      <c r="E59" s="10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3"/>
      <c r="X59" s="53"/>
      <c r="Y59" s="53"/>
      <c r="Z59" s="53"/>
    </row>
    <row r="60" spans="1:26" s="103" customFormat="1" hidden="1" x14ac:dyDescent="0.25">
      <c r="A60" s="99" t="s">
        <v>29</v>
      </c>
      <c r="B60" s="104" t="s">
        <v>30</v>
      </c>
      <c r="C60" s="100" t="s">
        <v>168</v>
      </c>
      <c r="D60" s="101"/>
      <c r="E60" s="10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3"/>
      <c r="X60" s="53"/>
      <c r="Y60" s="53"/>
      <c r="Z60" s="53"/>
    </row>
    <row r="61" spans="1:26" s="103" customFormat="1" hidden="1" x14ac:dyDescent="0.25">
      <c r="A61" s="110"/>
      <c r="B61" s="106"/>
      <c r="C61" s="111"/>
      <c r="D61" s="101"/>
      <c r="E61" s="102"/>
      <c r="F61" s="108">
        <v>0</v>
      </c>
      <c r="G61" s="2">
        <f>F61*C4</f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3"/>
      <c r="X61" s="53"/>
      <c r="Y61" s="53"/>
      <c r="Z61" s="53"/>
    </row>
    <row r="62" spans="1:26" s="103" customFormat="1" hidden="1" x14ac:dyDescent="0.25">
      <c r="A62" s="110"/>
      <c r="B62" s="106"/>
      <c r="C62" s="111"/>
      <c r="D62" s="101"/>
      <c r="E62" s="102"/>
      <c r="F62" s="108">
        <v>0</v>
      </c>
      <c r="G62" s="2">
        <f>F62*C4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3"/>
      <c r="X62" s="53"/>
      <c r="Y62" s="53"/>
      <c r="Z62" s="53"/>
    </row>
    <row r="63" spans="1:26" s="103" customFormat="1" hidden="1" x14ac:dyDescent="0.25">
      <c r="A63" s="110"/>
      <c r="B63" s="106"/>
      <c r="C63" s="111"/>
      <c r="D63" s="101"/>
      <c r="E63" s="102"/>
      <c r="F63" s="108">
        <v>0</v>
      </c>
      <c r="G63" s="2">
        <f>F63*C4</f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3"/>
      <c r="X63" s="53"/>
      <c r="Y63" s="53"/>
      <c r="Z63" s="53"/>
    </row>
    <row r="64" spans="1:26" s="103" customFormat="1" hidden="1" x14ac:dyDescent="0.25">
      <c r="A64" s="110"/>
      <c r="B64" s="106"/>
      <c r="C64" s="111"/>
      <c r="D64" s="101"/>
      <c r="E64" s="102"/>
      <c r="F64" s="108">
        <v>0</v>
      </c>
      <c r="G64" s="2">
        <f>F64*C4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3"/>
      <c r="X64" s="53"/>
      <c r="Y64" s="53"/>
      <c r="Z64" s="53"/>
    </row>
    <row r="65" spans="1:26" s="103" customFormat="1" hidden="1" x14ac:dyDescent="0.25">
      <c r="A65" s="110"/>
      <c r="B65" s="106"/>
      <c r="C65" s="111"/>
      <c r="D65" s="101"/>
      <c r="E65" s="102"/>
      <c r="F65" s="108">
        <v>0</v>
      </c>
      <c r="G65" s="2">
        <f>F65*C4</f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3"/>
      <c r="X65" s="53"/>
      <c r="Y65" s="53"/>
      <c r="Z65" s="53"/>
    </row>
    <row r="66" spans="1:26" s="103" customFormat="1" hidden="1" x14ac:dyDescent="0.25">
      <c r="A66" s="110"/>
      <c r="B66" s="106"/>
      <c r="C66" s="111"/>
      <c r="D66" s="101"/>
      <c r="E66" s="102"/>
      <c r="F66" s="108">
        <v>0</v>
      </c>
      <c r="G66" s="2">
        <f>F66*C4</f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3"/>
      <c r="X66" s="53"/>
      <c r="Y66" s="53"/>
      <c r="Z66" s="53"/>
    </row>
    <row r="67" spans="1:26" s="103" customFormat="1" hidden="1" x14ac:dyDescent="0.25">
      <c r="A67" s="110"/>
      <c r="B67" s="106"/>
      <c r="C67" s="111"/>
      <c r="D67" s="101"/>
      <c r="E67" s="102"/>
      <c r="F67" s="108">
        <v>0</v>
      </c>
      <c r="G67" s="2">
        <f>F67*C4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3"/>
      <c r="X67" s="53"/>
      <c r="Y67" s="53"/>
      <c r="Z67" s="53"/>
    </row>
    <row r="68" spans="1:26" s="103" customFormat="1" hidden="1" x14ac:dyDescent="0.25">
      <c r="A68" s="110"/>
      <c r="B68" s="106"/>
      <c r="C68" s="111"/>
      <c r="D68" s="101"/>
      <c r="E68" s="102"/>
      <c r="F68" s="108">
        <v>0</v>
      </c>
      <c r="G68" s="2">
        <f>F68*C4</f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3"/>
      <c r="X68" s="53"/>
      <c r="Y68" s="53"/>
      <c r="Z68" s="53"/>
    </row>
    <row r="69" spans="1:26" s="103" customFormat="1" hidden="1" x14ac:dyDescent="0.25">
      <c r="A69" s="110"/>
      <c r="B69" s="106"/>
      <c r="C69" s="111"/>
      <c r="D69" s="101"/>
      <c r="E69" s="102"/>
      <c r="F69" s="108">
        <v>0</v>
      </c>
      <c r="G69" s="2">
        <f>F69*C4</f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3"/>
      <c r="X69" s="53"/>
      <c r="Y69" s="53"/>
      <c r="Z69" s="53"/>
    </row>
    <row r="70" spans="1:26" s="103" customFormat="1" hidden="1" x14ac:dyDescent="0.25">
      <c r="A70" s="110"/>
      <c r="B70" s="106"/>
      <c r="C70" s="111"/>
      <c r="D70" s="101"/>
      <c r="E70" s="102"/>
      <c r="F70" s="108">
        <v>0</v>
      </c>
      <c r="G70" s="2">
        <f>F70*C4</f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3"/>
      <c r="X70" s="53"/>
      <c r="Y70" s="53"/>
      <c r="Z70" s="53"/>
    </row>
    <row r="71" spans="1:26" s="103" customFormat="1" hidden="1" x14ac:dyDescent="0.25">
      <c r="A71" s="99"/>
      <c r="B71" s="104" t="s">
        <v>167</v>
      </c>
      <c r="C71" s="100"/>
      <c r="D71" s="101"/>
      <c r="E71" s="102"/>
      <c r="F71" s="4">
        <f>SUM(F61:F70)</f>
        <v>0</v>
      </c>
      <c r="G71" s="2">
        <f>SUM(G61:G70)</f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3"/>
      <c r="X71" s="53"/>
      <c r="Y71" s="53"/>
      <c r="Z71" s="53"/>
    </row>
    <row r="72" spans="1:26" s="103" customFormat="1" hidden="1" x14ac:dyDescent="0.25">
      <c r="A72" s="99"/>
      <c r="B72" s="53"/>
      <c r="C72" s="100"/>
      <c r="D72" s="101"/>
      <c r="E72" s="102"/>
      <c r="F72" s="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s="103" customFormat="1" ht="13.8" hidden="1" thickBot="1" x14ac:dyDescent="0.3">
      <c r="A73" s="113" t="s">
        <v>3</v>
      </c>
      <c r="B73" s="113"/>
      <c r="C73" s="114"/>
      <c r="D73" s="115"/>
      <c r="E73" s="116"/>
      <c r="F73" s="43">
        <f>SUM(F28+F42+F43+F57+F71)</f>
        <v>0</v>
      </c>
      <c r="G73" s="43">
        <f>SUM(G28+G42+G43+G57+G71)</f>
        <v>0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53"/>
      <c r="X73" s="53"/>
      <c r="Y73" s="53"/>
      <c r="Z73" s="53"/>
    </row>
    <row r="74" spans="1:26" s="103" customFormat="1" x14ac:dyDescent="0.25">
      <c r="A74" s="99"/>
      <c r="B74" s="99"/>
      <c r="C74" s="118"/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53"/>
      <c r="X74" s="53"/>
      <c r="Y74" s="53"/>
      <c r="Z74" s="53"/>
    </row>
    <row r="75" spans="1:26" s="53" customFormat="1" ht="13.8" thickBot="1" x14ac:dyDescent="0.3">
      <c r="A75" s="70" t="s">
        <v>6</v>
      </c>
      <c r="B75" s="99"/>
      <c r="C75" s="118"/>
      <c r="D75" s="122"/>
      <c r="E75" s="123"/>
      <c r="F75" s="3"/>
    </row>
    <row r="76" spans="1:26" ht="13.8" thickBot="1" x14ac:dyDescent="0.3">
      <c r="A76" s="49"/>
      <c r="B76" s="70" t="s">
        <v>293</v>
      </c>
      <c r="C76" s="81" t="s">
        <v>27</v>
      </c>
      <c r="D76" s="82" t="s">
        <v>28</v>
      </c>
      <c r="E76" s="67" t="s">
        <v>0</v>
      </c>
      <c r="F76" s="83" t="s">
        <v>65</v>
      </c>
      <c r="G76" s="83" t="s">
        <v>65</v>
      </c>
      <c r="H76" s="390" t="s">
        <v>179</v>
      </c>
      <c r="I76" s="391"/>
      <c r="J76" s="391"/>
      <c r="K76" s="391"/>
      <c r="L76" s="391"/>
      <c r="M76" s="391"/>
      <c r="N76" s="391"/>
      <c r="O76" s="391"/>
      <c r="P76" s="391"/>
      <c r="Q76" s="392"/>
      <c r="R76" s="83" t="s">
        <v>289</v>
      </c>
      <c r="S76" s="83" t="s">
        <v>290</v>
      </c>
      <c r="T76" s="83" t="s">
        <v>290</v>
      </c>
      <c r="U76" s="83" t="s">
        <v>289</v>
      </c>
      <c r="V76" s="83" t="s">
        <v>290</v>
      </c>
      <c r="W76" s="87" t="s">
        <v>290</v>
      </c>
      <c r="X76" s="87" t="s">
        <v>292</v>
      </c>
    </row>
    <row r="77" spans="1:26" ht="13.8" thickBot="1" x14ac:dyDescent="0.3">
      <c r="A77" s="49"/>
      <c r="B77" s="70"/>
      <c r="C77" s="81"/>
      <c r="D77" s="82"/>
      <c r="E77" s="67"/>
      <c r="F77" s="83" t="s">
        <v>5</v>
      </c>
      <c r="G77" s="83" t="s">
        <v>5</v>
      </c>
      <c r="H77" s="124" t="s">
        <v>169</v>
      </c>
      <c r="I77" s="124" t="s">
        <v>170</v>
      </c>
      <c r="J77" s="124" t="s">
        <v>171</v>
      </c>
      <c r="K77" s="124" t="s">
        <v>172</v>
      </c>
      <c r="L77" s="124" t="s">
        <v>173</v>
      </c>
      <c r="M77" s="124" t="s">
        <v>174</v>
      </c>
      <c r="N77" s="124" t="s">
        <v>175</v>
      </c>
      <c r="O77" s="124" t="s">
        <v>176</v>
      </c>
      <c r="P77" s="124" t="s">
        <v>177</v>
      </c>
      <c r="Q77" s="124" t="s">
        <v>178</v>
      </c>
      <c r="R77" s="86"/>
      <c r="S77" s="83"/>
      <c r="T77" s="83"/>
      <c r="U77" s="83"/>
      <c r="V77" s="83"/>
      <c r="W77" s="84"/>
      <c r="X77" s="84"/>
    </row>
    <row r="78" spans="1:26" x14ac:dyDescent="0.25">
      <c r="B78" s="70"/>
      <c r="C78" s="81" t="s">
        <v>1</v>
      </c>
      <c r="D78" s="82" t="s">
        <v>2</v>
      </c>
      <c r="E78" s="86" t="s">
        <v>20</v>
      </c>
      <c r="F78" s="86" t="s">
        <v>20</v>
      </c>
      <c r="G78" s="87" t="s">
        <v>4</v>
      </c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86" t="s">
        <v>20</v>
      </c>
      <c r="S78" s="86" t="s">
        <v>20</v>
      </c>
      <c r="T78" s="222" t="s">
        <v>291</v>
      </c>
      <c r="U78" s="222" t="s">
        <v>4</v>
      </c>
      <c r="V78" s="222" t="s">
        <v>4</v>
      </c>
      <c r="W78" s="87" t="s">
        <v>291</v>
      </c>
      <c r="X78" s="87"/>
    </row>
    <row r="79" spans="1:26" x14ac:dyDescent="0.25">
      <c r="A79" s="70" t="s">
        <v>77</v>
      </c>
      <c r="B79" s="70"/>
      <c r="C79" s="81"/>
      <c r="D79" s="82"/>
      <c r="E79" s="86"/>
      <c r="F79" s="86"/>
      <c r="G79" s="87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23"/>
      <c r="S79" s="223"/>
      <c r="T79" s="223"/>
      <c r="U79" s="223"/>
      <c r="V79" s="223"/>
      <c r="W79" s="223"/>
      <c r="X79" s="223"/>
    </row>
    <row r="80" spans="1:26" x14ac:dyDescent="0.25">
      <c r="A80" s="125">
        <v>1</v>
      </c>
      <c r="B80" s="126" t="s">
        <v>78</v>
      </c>
      <c r="C80" s="130"/>
      <c r="D80" s="129"/>
      <c r="E80" s="131"/>
      <c r="F80" s="132"/>
      <c r="G80" s="133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24"/>
      <c r="S80" s="224"/>
      <c r="T80" s="224"/>
      <c r="U80" s="224"/>
      <c r="V80" s="224"/>
      <c r="W80" s="224"/>
      <c r="X80" s="224"/>
    </row>
    <row r="81" spans="1:24" x14ac:dyDescent="0.25">
      <c r="A81" s="193">
        <v>1.1000000000000001</v>
      </c>
      <c r="B81" s="109" t="s">
        <v>81</v>
      </c>
      <c r="C81" s="21"/>
      <c r="D81" s="25"/>
      <c r="E81" s="18"/>
      <c r="F81" s="45">
        <f>D81*E81</f>
        <v>0</v>
      </c>
      <c r="G81" s="46">
        <f>F81*C4</f>
        <v>0</v>
      </c>
      <c r="H81" s="243"/>
      <c r="I81" s="243"/>
      <c r="J81" s="243"/>
      <c r="K81" s="243"/>
      <c r="L81" s="243"/>
      <c r="M81" s="243"/>
      <c r="N81" s="243"/>
      <c r="O81" s="243"/>
      <c r="P81" s="243"/>
      <c r="Q81" s="250"/>
      <c r="R81" s="264"/>
      <c r="S81" s="225">
        <f>R81-F81</f>
        <v>0</v>
      </c>
      <c r="T81" s="231">
        <f>IF(F81=0,0,S81/F81)</f>
        <v>0</v>
      </c>
      <c r="U81" s="225">
        <f>R81*$C$4</f>
        <v>0</v>
      </c>
      <c r="V81" s="225">
        <f>U81-G81</f>
        <v>0</v>
      </c>
      <c r="W81" s="231">
        <f>IF(G81=0,0,V81/G81)</f>
        <v>0</v>
      </c>
      <c r="X81" s="231"/>
    </row>
    <row r="82" spans="1:24" x14ac:dyDescent="0.25">
      <c r="A82" s="99" t="s">
        <v>104</v>
      </c>
      <c r="B82" s="109"/>
      <c r="C82" s="4"/>
      <c r="D82" s="135"/>
      <c r="E82" s="3"/>
      <c r="F82" s="3"/>
      <c r="G82" s="46"/>
      <c r="H82" s="242"/>
      <c r="I82" s="242"/>
      <c r="J82" s="242"/>
      <c r="K82" s="242"/>
      <c r="L82" s="242"/>
      <c r="M82" s="242"/>
      <c r="N82" s="242"/>
      <c r="O82" s="242"/>
      <c r="P82" s="242"/>
      <c r="Q82" s="251"/>
      <c r="R82" s="256"/>
      <c r="S82" s="225"/>
      <c r="T82" s="231"/>
      <c r="U82" s="225"/>
      <c r="V82" s="225"/>
      <c r="W82" s="231"/>
      <c r="X82" s="231"/>
    </row>
    <row r="83" spans="1:24" hidden="1" x14ac:dyDescent="0.25">
      <c r="A83" s="136" t="s">
        <v>80</v>
      </c>
      <c r="B83" s="203"/>
      <c r="C83" s="21"/>
      <c r="D83" s="25"/>
      <c r="E83" s="18"/>
      <c r="F83" s="47">
        <f t="shared" ref="F83:F88" si="0">D83*E83</f>
        <v>0</v>
      </c>
      <c r="G83" s="46">
        <f>F83*C4</f>
        <v>0</v>
      </c>
      <c r="H83" s="242"/>
      <c r="I83" s="242"/>
      <c r="J83" s="242"/>
      <c r="K83" s="242"/>
      <c r="L83" s="242"/>
      <c r="M83" s="242"/>
      <c r="N83" s="242"/>
      <c r="O83" s="242"/>
      <c r="P83" s="242"/>
      <c r="Q83" s="251"/>
      <c r="R83" s="262"/>
      <c r="S83" s="225">
        <f t="shared" ref="S83:S146" si="1">R83-F83</f>
        <v>0</v>
      </c>
      <c r="T83" s="231">
        <f t="shared" ref="T83:T146" si="2">IF(F83=0,0,S83/F83)</f>
        <v>0</v>
      </c>
      <c r="U83" s="225">
        <f t="shared" ref="U83:U146" si="3">R83*$C$4</f>
        <v>0</v>
      </c>
      <c r="V83" s="225">
        <f t="shared" ref="V83:V146" si="4">U83-G83</f>
        <v>0</v>
      </c>
      <c r="W83" s="231">
        <f t="shared" ref="W83:W146" si="5">IF(G83=0,0,V83/G83)</f>
        <v>0</v>
      </c>
      <c r="X83" s="231"/>
    </row>
    <row r="84" spans="1:24" hidden="1" x14ac:dyDescent="0.25">
      <c r="A84" s="139" t="s">
        <v>83</v>
      </c>
      <c r="B84" s="57"/>
      <c r="C84" s="21"/>
      <c r="D84" s="25"/>
      <c r="E84" s="18"/>
      <c r="F84" s="47">
        <f t="shared" si="0"/>
        <v>0</v>
      </c>
      <c r="G84" s="46">
        <f>F84*C4</f>
        <v>0</v>
      </c>
      <c r="H84" s="242"/>
      <c r="I84" s="242"/>
      <c r="J84" s="242"/>
      <c r="K84" s="242"/>
      <c r="L84" s="242"/>
      <c r="M84" s="242"/>
      <c r="N84" s="242"/>
      <c r="O84" s="242"/>
      <c r="P84" s="242"/>
      <c r="Q84" s="251"/>
      <c r="R84" s="262"/>
      <c r="S84" s="225">
        <f t="shared" si="1"/>
        <v>0</v>
      </c>
      <c r="T84" s="231">
        <f t="shared" si="2"/>
        <v>0</v>
      </c>
      <c r="U84" s="225">
        <f t="shared" si="3"/>
        <v>0</v>
      </c>
      <c r="V84" s="225">
        <f t="shared" si="4"/>
        <v>0</v>
      </c>
      <c r="W84" s="231">
        <f t="shared" si="5"/>
        <v>0</v>
      </c>
      <c r="X84" s="231"/>
    </row>
    <row r="85" spans="1:24" hidden="1" x14ac:dyDescent="0.25">
      <c r="A85" s="139" t="s">
        <v>84</v>
      </c>
      <c r="B85" s="57"/>
      <c r="C85" s="21"/>
      <c r="D85" s="25"/>
      <c r="E85" s="18"/>
      <c r="F85" s="47">
        <f t="shared" si="0"/>
        <v>0</v>
      </c>
      <c r="G85" s="46">
        <f>F85*C4</f>
        <v>0</v>
      </c>
      <c r="H85" s="242"/>
      <c r="I85" s="242"/>
      <c r="J85" s="242"/>
      <c r="K85" s="242"/>
      <c r="L85" s="242"/>
      <c r="M85" s="242"/>
      <c r="N85" s="242"/>
      <c r="O85" s="242"/>
      <c r="P85" s="242"/>
      <c r="Q85" s="251"/>
      <c r="R85" s="262"/>
      <c r="S85" s="225">
        <f t="shared" si="1"/>
        <v>0</v>
      </c>
      <c r="T85" s="231">
        <f t="shared" si="2"/>
        <v>0</v>
      </c>
      <c r="U85" s="225">
        <f t="shared" si="3"/>
        <v>0</v>
      </c>
      <c r="V85" s="225">
        <f t="shared" si="4"/>
        <v>0</v>
      </c>
      <c r="W85" s="231">
        <f t="shared" si="5"/>
        <v>0</v>
      </c>
      <c r="X85" s="231"/>
    </row>
    <row r="86" spans="1:24" hidden="1" x14ac:dyDescent="0.25">
      <c r="A86" s="139" t="s">
        <v>85</v>
      </c>
      <c r="B86" s="57"/>
      <c r="C86" s="21"/>
      <c r="D86" s="25"/>
      <c r="E86" s="18"/>
      <c r="F86" s="47">
        <f t="shared" si="0"/>
        <v>0</v>
      </c>
      <c r="G86" s="46">
        <f>F86*C4</f>
        <v>0</v>
      </c>
      <c r="H86" s="242"/>
      <c r="I86" s="242"/>
      <c r="J86" s="242"/>
      <c r="K86" s="242"/>
      <c r="L86" s="242"/>
      <c r="M86" s="242"/>
      <c r="N86" s="242"/>
      <c r="O86" s="242"/>
      <c r="P86" s="242"/>
      <c r="Q86" s="251"/>
      <c r="R86" s="262"/>
      <c r="S86" s="225">
        <f t="shared" si="1"/>
        <v>0</v>
      </c>
      <c r="T86" s="231">
        <f t="shared" si="2"/>
        <v>0</v>
      </c>
      <c r="U86" s="225">
        <f t="shared" si="3"/>
        <v>0</v>
      </c>
      <c r="V86" s="225">
        <f t="shared" si="4"/>
        <v>0</v>
      </c>
      <c r="W86" s="231">
        <f t="shared" si="5"/>
        <v>0</v>
      </c>
      <c r="X86" s="231"/>
    </row>
    <row r="87" spans="1:24" hidden="1" x14ac:dyDescent="0.25">
      <c r="A87" s="139" t="s">
        <v>86</v>
      </c>
      <c r="B87" s="57"/>
      <c r="C87" s="21"/>
      <c r="D87" s="25"/>
      <c r="E87" s="18"/>
      <c r="F87" s="47">
        <f t="shared" si="0"/>
        <v>0</v>
      </c>
      <c r="G87" s="46">
        <f>F87*C4</f>
        <v>0</v>
      </c>
      <c r="H87" s="242"/>
      <c r="I87" s="242"/>
      <c r="J87" s="242"/>
      <c r="K87" s="242"/>
      <c r="L87" s="242"/>
      <c r="M87" s="242"/>
      <c r="N87" s="242"/>
      <c r="O87" s="242"/>
      <c r="P87" s="242"/>
      <c r="Q87" s="251"/>
      <c r="R87" s="262"/>
      <c r="S87" s="225">
        <f t="shared" si="1"/>
        <v>0</v>
      </c>
      <c r="T87" s="231">
        <f t="shared" si="2"/>
        <v>0</v>
      </c>
      <c r="U87" s="225">
        <f t="shared" si="3"/>
        <v>0</v>
      </c>
      <c r="V87" s="225">
        <f t="shared" si="4"/>
        <v>0</v>
      </c>
      <c r="W87" s="231">
        <f t="shared" si="5"/>
        <v>0</v>
      </c>
      <c r="X87" s="231"/>
    </row>
    <row r="88" spans="1:24" hidden="1" x14ac:dyDescent="0.25">
      <c r="A88" s="139" t="s">
        <v>87</v>
      </c>
      <c r="B88" s="57"/>
      <c r="C88" s="21"/>
      <c r="D88" s="25"/>
      <c r="E88" s="18"/>
      <c r="F88" s="47">
        <f t="shared" si="0"/>
        <v>0</v>
      </c>
      <c r="G88" s="46">
        <f>F88*C4</f>
        <v>0</v>
      </c>
      <c r="H88" s="242"/>
      <c r="I88" s="242"/>
      <c r="J88" s="242"/>
      <c r="K88" s="242"/>
      <c r="L88" s="242"/>
      <c r="M88" s="242"/>
      <c r="N88" s="242"/>
      <c r="O88" s="242"/>
      <c r="P88" s="242"/>
      <c r="Q88" s="251"/>
      <c r="R88" s="262"/>
      <c r="S88" s="225">
        <f t="shared" si="1"/>
        <v>0</v>
      </c>
      <c r="T88" s="231">
        <f t="shared" si="2"/>
        <v>0</v>
      </c>
      <c r="U88" s="225">
        <f t="shared" si="3"/>
        <v>0</v>
      </c>
      <c r="V88" s="225">
        <f t="shared" si="4"/>
        <v>0</v>
      </c>
      <c r="W88" s="231">
        <f t="shared" si="5"/>
        <v>0</v>
      </c>
      <c r="X88" s="231"/>
    </row>
    <row r="89" spans="1:24" x14ac:dyDescent="0.25">
      <c r="A89" s="141"/>
      <c r="B89" s="140"/>
      <c r="C89" s="15"/>
      <c r="D89" s="26"/>
      <c r="E89" s="27"/>
      <c r="F89" s="48"/>
      <c r="H89" s="242"/>
      <c r="I89" s="242"/>
      <c r="J89" s="242"/>
      <c r="K89" s="242"/>
      <c r="L89" s="242"/>
      <c r="M89" s="242"/>
      <c r="N89" s="242"/>
      <c r="O89" s="242"/>
      <c r="P89" s="242"/>
      <c r="Q89" s="251"/>
      <c r="R89" s="257"/>
      <c r="S89" s="225"/>
      <c r="T89" s="231"/>
      <c r="U89" s="225"/>
      <c r="V89" s="225"/>
      <c r="W89" s="231"/>
      <c r="X89" s="231"/>
    </row>
    <row r="90" spans="1:24" x14ac:dyDescent="0.25">
      <c r="A90" s="99" t="s">
        <v>105</v>
      </c>
      <c r="C90" s="2"/>
      <c r="D90" s="142"/>
      <c r="E90" s="143"/>
      <c r="F90" s="48"/>
      <c r="H90" s="242"/>
      <c r="I90" s="242"/>
      <c r="J90" s="242"/>
      <c r="K90" s="242"/>
      <c r="L90" s="242"/>
      <c r="M90" s="242"/>
      <c r="N90" s="242"/>
      <c r="O90" s="242"/>
      <c r="P90" s="242"/>
      <c r="Q90" s="251"/>
      <c r="R90" s="257"/>
      <c r="S90" s="225"/>
      <c r="T90" s="231"/>
      <c r="U90" s="225"/>
      <c r="V90" s="225"/>
      <c r="W90" s="231"/>
      <c r="X90" s="231"/>
    </row>
    <row r="91" spans="1:24" x14ac:dyDescent="0.25">
      <c r="A91" s="77" t="s">
        <v>82</v>
      </c>
      <c r="B91" s="57" t="s">
        <v>590</v>
      </c>
      <c r="C91" s="21" t="s">
        <v>392</v>
      </c>
      <c r="D91" s="25">
        <v>12</v>
      </c>
      <c r="E91" s="18">
        <v>98556</v>
      </c>
      <c r="F91" s="48">
        <f t="shared" ref="F91:F96" si="6">D91*E91</f>
        <v>1182672</v>
      </c>
      <c r="G91" s="49">
        <f>F91*C4</f>
        <v>5499.4247999999998</v>
      </c>
      <c r="H91" s="242"/>
      <c r="I91" s="242"/>
      <c r="J91" s="242"/>
      <c r="K91" s="242"/>
      <c r="L91" s="242"/>
      <c r="M91" s="242"/>
      <c r="N91" s="242"/>
      <c r="O91" s="242"/>
      <c r="P91" s="242"/>
      <c r="Q91" s="251"/>
      <c r="R91" s="262"/>
      <c r="S91" s="225">
        <f t="shared" si="1"/>
        <v>-1182672</v>
      </c>
      <c r="T91" s="231">
        <f t="shared" si="2"/>
        <v>-1</v>
      </c>
      <c r="U91" s="225">
        <f t="shared" si="3"/>
        <v>0</v>
      </c>
      <c r="V91" s="225">
        <f t="shared" si="4"/>
        <v>-5499.4247999999998</v>
      </c>
      <c r="W91" s="231">
        <f t="shared" si="5"/>
        <v>-1</v>
      </c>
      <c r="X91" s="231"/>
    </row>
    <row r="92" spans="1:24" x14ac:dyDescent="0.25">
      <c r="A92" s="144" t="s">
        <v>88</v>
      </c>
      <c r="B92" s="57" t="s">
        <v>591</v>
      </c>
      <c r="C92" s="21" t="s">
        <v>392</v>
      </c>
      <c r="D92" s="25">
        <v>12</v>
      </c>
      <c r="E92" s="18">
        <f>1300*20%*490</f>
        <v>127400</v>
      </c>
      <c r="F92" s="48">
        <f t="shared" si="6"/>
        <v>1528800</v>
      </c>
      <c r="G92" s="49">
        <f>F92*C4</f>
        <v>7108.9199999999992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51"/>
      <c r="R92" s="262"/>
      <c r="S92" s="225">
        <f t="shared" si="1"/>
        <v>-1528800</v>
      </c>
      <c r="T92" s="231">
        <f t="shared" si="2"/>
        <v>-1</v>
      </c>
      <c r="U92" s="225">
        <f t="shared" si="3"/>
        <v>0</v>
      </c>
      <c r="V92" s="225">
        <f t="shared" si="4"/>
        <v>-7108.9199999999992</v>
      </c>
      <c r="W92" s="231">
        <f t="shared" si="5"/>
        <v>-1</v>
      </c>
      <c r="X92" s="231"/>
    </row>
    <row r="93" spans="1:24" ht="26.4" x14ac:dyDescent="0.25">
      <c r="A93" s="144" t="s">
        <v>89</v>
      </c>
      <c r="B93" s="57" t="s">
        <v>592</v>
      </c>
      <c r="C93" s="21" t="s">
        <v>392</v>
      </c>
      <c r="D93" s="25">
        <v>12</v>
      </c>
      <c r="E93" s="18">
        <f>1000*50%*490</f>
        <v>245000</v>
      </c>
      <c r="F93" s="48">
        <f t="shared" si="6"/>
        <v>2940000</v>
      </c>
      <c r="G93" s="49">
        <f>F93*C4</f>
        <v>13670.999999999998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51"/>
      <c r="R93" s="262"/>
      <c r="S93" s="225">
        <f t="shared" si="1"/>
        <v>-2940000</v>
      </c>
      <c r="T93" s="231">
        <f t="shared" si="2"/>
        <v>-1</v>
      </c>
      <c r="U93" s="225">
        <f t="shared" si="3"/>
        <v>0</v>
      </c>
      <c r="V93" s="225">
        <f t="shared" si="4"/>
        <v>-13670.999999999998</v>
      </c>
      <c r="W93" s="231">
        <f t="shared" si="5"/>
        <v>-1</v>
      </c>
      <c r="X93" s="231"/>
    </row>
    <row r="94" spans="1:24" x14ac:dyDescent="0.25">
      <c r="A94" s="144" t="s">
        <v>90</v>
      </c>
      <c r="B94" s="57" t="s">
        <v>593</v>
      </c>
      <c r="C94" s="21" t="s">
        <v>392</v>
      </c>
      <c r="D94" s="25">
        <v>12</v>
      </c>
      <c r="E94" s="18">
        <f>1000*20%*490</f>
        <v>98000</v>
      </c>
      <c r="F94" s="48">
        <f t="shared" si="6"/>
        <v>1176000</v>
      </c>
      <c r="G94" s="49">
        <f>F94*C4</f>
        <v>5468.4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51"/>
      <c r="R94" s="262"/>
      <c r="S94" s="225">
        <f t="shared" si="1"/>
        <v>-1176000</v>
      </c>
      <c r="T94" s="231">
        <f t="shared" si="2"/>
        <v>-1</v>
      </c>
      <c r="U94" s="225">
        <f t="shared" si="3"/>
        <v>0</v>
      </c>
      <c r="V94" s="225">
        <f t="shared" si="4"/>
        <v>-5468.4</v>
      </c>
      <c r="W94" s="231">
        <f t="shared" si="5"/>
        <v>-1</v>
      </c>
      <c r="X94" s="231"/>
    </row>
    <row r="95" spans="1:24" x14ac:dyDescent="0.25">
      <c r="A95" s="144" t="s">
        <v>91</v>
      </c>
      <c r="B95" s="57" t="s">
        <v>594</v>
      </c>
      <c r="C95" s="21" t="s">
        <v>392</v>
      </c>
      <c r="D95" s="25">
        <v>12</v>
      </c>
      <c r="E95" s="18">
        <f>1000*20%*490</f>
        <v>98000</v>
      </c>
      <c r="F95" s="48">
        <f t="shared" si="6"/>
        <v>1176000</v>
      </c>
      <c r="G95" s="49">
        <f>F95*C4</f>
        <v>5468.4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51"/>
      <c r="R95" s="262"/>
      <c r="S95" s="225">
        <f t="shared" si="1"/>
        <v>-1176000</v>
      </c>
      <c r="T95" s="231">
        <f t="shared" si="2"/>
        <v>-1</v>
      </c>
      <c r="U95" s="225">
        <f t="shared" si="3"/>
        <v>0</v>
      </c>
      <c r="V95" s="225">
        <f t="shared" si="4"/>
        <v>-5468.4</v>
      </c>
      <c r="W95" s="231">
        <f t="shared" si="5"/>
        <v>-1</v>
      </c>
      <c r="X95" s="231"/>
    </row>
    <row r="96" spans="1:24" ht="13.5" customHeight="1" x14ac:dyDescent="0.25">
      <c r="A96" s="144" t="s">
        <v>92</v>
      </c>
      <c r="B96" s="57" t="s">
        <v>595</v>
      </c>
      <c r="C96" s="21" t="s">
        <v>392</v>
      </c>
      <c r="D96" s="25">
        <v>12</v>
      </c>
      <c r="E96" s="18">
        <f>1000*20%*490</f>
        <v>98000</v>
      </c>
      <c r="F96" s="48">
        <f t="shared" si="6"/>
        <v>1176000</v>
      </c>
      <c r="G96" s="49">
        <f>F96*C4</f>
        <v>5468.4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51"/>
      <c r="R96" s="262"/>
      <c r="S96" s="225">
        <f t="shared" si="1"/>
        <v>-1176000</v>
      </c>
      <c r="T96" s="231">
        <f t="shared" si="2"/>
        <v>-1</v>
      </c>
      <c r="U96" s="225">
        <f t="shared" si="3"/>
        <v>0</v>
      </c>
      <c r="V96" s="225">
        <f t="shared" si="4"/>
        <v>-5468.4</v>
      </c>
      <c r="W96" s="231">
        <f t="shared" si="5"/>
        <v>-1</v>
      </c>
      <c r="X96" s="231"/>
    </row>
    <row r="97" spans="1:24" x14ac:dyDescent="0.25">
      <c r="A97" s="87"/>
      <c r="B97" s="145"/>
      <c r="C97" s="10"/>
      <c r="D97" s="11"/>
      <c r="E97" s="359"/>
      <c r="F97" s="48"/>
      <c r="G97" s="295"/>
      <c r="H97" s="241"/>
      <c r="I97" s="241"/>
      <c r="J97" s="241"/>
      <c r="K97" s="241"/>
      <c r="L97" s="241"/>
      <c r="M97" s="241"/>
      <c r="N97" s="241"/>
      <c r="O97" s="241"/>
      <c r="P97" s="241"/>
      <c r="Q97" s="252"/>
      <c r="R97" s="258"/>
      <c r="S97" s="225"/>
      <c r="T97" s="231"/>
      <c r="U97" s="225"/>
      <c r="V97" s="225"/>
      <c r="W97" s="231"/>
      <c r="X97" s="231"/>
    </row>
    <row r="98" spans="1:24" hidden="1" x14ac:dyDescent="0.25">
      <c r="A98" s="194"/>
      <c r="B98" s="195" t="s">
        <v>187</v>
      </c>
      <c r="C98" s="196"/>
      <c r="D98" s="197"/>
      <c r="E98" s="198"/>
      <c r="F98" s="199">
        <f>SUM(F83:F89)</f>
        <v>0</v>
      </c>
      <c r="G98" s="194">
        <f>SUM(G83:G89)</f>
        <v>0</v>
      </c>
      <c r="H98" s="241"/>
      <c r="I98" s="241"/>
      <c r="J98" s="241"/>
      <c r="K98" s="241"/>
      <c r="L98" s="241"/>
      <c r="M98" s="241"/>
      <c r="N98" s="241"/>
      <c r="O98" s="241"/>
      <c r="P98" s="241"/>
      <c r="Q98" s="252"/>
      <c r="R98" s="258"/>
      <c r="S98" s="225">
        <f t="shared" si="1"/>
        <v>0</v>
      </c>
      <c r="T98" s="231">
        <f t="shared" si="2"/>
        <v>0</v>
      </c>
      <c r="U98" s="225">
        <f t="shared" si="3"/>
        <v>0</v>
      </c>
      <c r="V98" s="225">
        <f t="shared" si="4"/>
        <v>0</v>
      </c>
      <c r="W98" s="231">
        <f t="shared" si="5"/>
        <v>0</v>
      </c>
      <c r="X98" s="231"/>
    </row>
    <row r="99" spans="1:24" hidden="1" x14ac:dyDescent="0.25">
      <c r="A99" s="194"/>
      <c r="B99" s="195" t="s">
        <v>186</v>
      </c>
      <c r="C99" s="196"/>
      <c r="D99" s="197"/>
      <c r="E99" s="198"/>
      <c r="F99" s="199">
        <f>SUM(F91:F97)</f>
        <v>9179472</v>
      </c>
      <c r="G99" s="194">
        <f>SUM(G91:G97)</f>
        <v>42684.544800000003</v>
      </c>
      <c r="H99" s="241"/>
      <c r="I99" s="241"/>
      <c r="J99" s="241"/>
      <c r="K99" s="241"/>
      <c r="L99" s="241"/>
      <c r="M99" s="241"/>
      <c r="N99" s="241"/>
      <c r="O99" s="241"/>
      <c r="P99" s="241"/>
      <c r="Q99" s="252"/>
      <c r="R99" s="258"/>
      <c r="S99" s="225">
        <f t="shared" si="1"/>
        <v>-9179472</v>
      </c>
      <c r="T99" s="231">
        <f t="shared" si="2"/>
        <v>-1</v>
      </c>
      <c r="U99" s="225">
        <f t="shared" si="3"/>
        <v>0</v>
      </c>
      <c r="V99" s="225">
        <f t="shared" si="4"/>
        <v>-42684.544800000003</v>
      </c>
      <c r="W99" s="231">
        <f t="shared" si="5"/>
        <v>-1</v>
      </c>
      <c r="X99" s="231"/>
    </row>
    <row r="100" spans="1:24" ht="13.8" thickBot="1" x14ac:dyDescent="0.3">
      <c r="A100" s="99"/>
      <c r="B100" s="146" t="s">
        <v>79</v>
      </c>
      <c r="C100" s="118"/>
      <c r="D100" s="122"/>
      <c r="E100" s="123"/>
      <c r="F100" s="50">
        <f>SUM(F81+F83+F84+F85+F86+F87+F88+F91+F92+F93+F94+F95+F96)</f>
        <v>9179472</v>
      </c>
      <c r="G100" s="50">
        <f>SUM(G81+G83+G84+G85+G86+G87+G88+G91+G92+G93+G94+G95+G96)</f>
        <v>42684.544800000003</v>
      </c>
      <c r="H100" s="244"/>
      <c r="I100" s="244"/>
      <c r="J100" s="244"/>
      <c r="K100" s="244"/>
      <c r="L100" s="244"/>
      <c r="M100" s="244"/>
      <c r="N100" s="244"/>
      <c r="O100" s="244"/>
      <c r="P100" s="244"/>
      <c r="Q100" s="253"/>
      <c r="R100" s="263"/>
      <c r="S100" s="237">
        <f t="shared" si="1"/>
        <v>-9179472</v>
      </c>
      <c r="T100" s="238">
        <f t="shared" si="2"/>
        <v>-1</v>
      </c>
      <c r="U100" s="237">
        <f t="shared" si="3"/>
        <v>0</v>
      </c>
      <c r="V100" s="237">
        <f t="shared" si="4"/>
        <v>-42684.544800000003</v>
      </c>
      <c r="W100" s="238">
        <f t="shared" si="5"/>
        <v>-1</v>
      </c>
      <c r="X100" s="238"/>
    </row>
    <row r="101" spans="1:24" ht="13.8" thickTop="1" x14ac:dyDescent="0.25">
      <c r="A101" s="87"/>
      <c r="B101" s="70"/>
      <c r="C101" s="81"/>
      <c r="D101" s="82"/>
      <c r="E101" s="86"/>
      <c r="F101" s="86"/>
      <c r="G101" s="87"/>
      <c r="H101" s="241"/>
      <c r="I101" s="241"/>
      <c r="J101" s="241"/>
      <c r="K101" s="241"/>
      <c r="L101" s="241"/>
      <c r="M101" s="241"/>
      <c r="N101" s="241"/>
      <c r="O101" s="241"/>
      <c r="P101" s="241"/>
      <c r="Q101" s="252"/>
      <c r="R101" s="258"/>
      <c r="S101" s="225"/>
      <c r="T101" s="231"/>
      <c r="U101" s="225"/>
      <c r="V101" s="225"/>
      <c r="W101" s="231"/>
      <c r="X101" s="231"/>
    </row>
    <row r="102" spans="1:24" x14ac:dyDescent="0.25">
      <c r="A102" s="125">
        <v>2</v>
      </c>
      <c r="B102" s="126" t="s">
        <v>93</v>
      </c>
      <c r="C102" s="130"/>
      <c r="D102" s="129"/>
      <c r="E102" s="131"/>
      <c r="F102" s="131"/>
      <c r="G102" s="147"/>
      <c r="H102" s="241"/>
      <c r="I102" s="241"/>
      <c r="J102" s="241"/>
      <c r="K102" s="241"/>
      <c r="L102" s="241"/>
      <c r="M102" s="241"/>
      <c r="N102" s="241"/>
      <c r="O102" s="241"/>
      <c r="P102" s="241"/>
      <c r="Q102" s="252"/>
      <c r="R102" s="260"/>
      <c r="S102" s="230"/>
      <c r="T102" s="232"/>
      <c r="U102" s="230"/>
      <c r="V102" s="230"/>
      <c r="W102" s="232"/>
      <c r="X102" s="232"/>
    </row>
    <row r="103" spans="1:24" x14ac:dyDescent="0.25">
      <c r="A103" s="220" t="s">
        <v>94</v>
      </c>
      <c r="B103" s="221" t="s">
        <v>66</v>
      </c>
      <c r="C103" s="210"/>
      <c r="D103" s="211"/>
      <c r="E103" s="212"/>
      <c r="F103" s="208">
        <f>SUM(F104:F108)</f>
        <v>206008250</v>
      </c>
      <c r="G103" s="315">
        <f>SUM(G104:G108)</f>
        <v>957938.36250000005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51"/>
      <c r="R103" s="262"/>
      <c r="S103" s="239">
        <f t="shared" si="1"/>
        <v>-206008250</v>
      </c>
      <c r="T103" s="240">
        <f t="shared" si="2"/>
        <v>-1</v>
      </c>
      <c r="U103" s="239">
        <f t="shared" si="3"/>
        <v>0</v>
      </c>
      <c r="V103" s="239">
        <f t="shared" si="4"/>
        <v>-957938.36250000005</v>
      </c>
      <c r="W103" s="240">
        <f t="shared" si="5"/>
        <v>-1</v>
      </c>
      <c r="X103" s="240"/>
    </row>
    <row r="104" spans="1:24" x14ac:dyDescent="0.25">
      <c r="A104" s="148" t="s">
        <v>195</v>
      </c>
      <c r="B104" s="106" t="s">
        <v>596</v>
      </c>
      <c r="C104" s="357" t="s">
        <v>846</v>
      </c>
      <c r="D104" s="281">
        <v>2250</v>
      </c>
      <c r="E104" s="282">
        <v>26950</v>
      </c>
      <c r="F104" s="48">
        <f>D104*E104</f>
        <v>60637500</v>
      </c>
      <c r="G104" s="295">
        <f>F104*C4</f>
        <v>281964.375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51"/>
      <c r="R104" s="262"/>
      <c r="S104" s="225">
        <f t="shared" si="1"/>
        <v>-60637500</v>
      </c>
      <c r="T104" s="231">
        <f t="shared" si="2"/>
        <v>-1</v>
      </c>
      <c r="U104" s="225">
        <f t="shared" si="3"/>
        <v>0</v>
      </c>
      <c r="V104" s="225">
        <f t="shared" si="4"/>
        <v>-281964.375</v>
      </c>
      <c r="W104" s="231">
        <f t="shared" si="5"/>
        <v>-1</v>
      </c>
      <c r="X104" s="231"/>
    </row>
    <row r="105" spans="1:24" x14ac:dyDescent="0.25">
      <c r="A105" s="148" t="s">
        <v>196</v>
      </c>
      <c r="B105" s="106" t="s">
        <v>597</v>
      </c>
      <c r="C105" s="357" t="s">
        <v>846</v>
      </c>
      <c r="D105" s="281">
        <v>2250</v>
      </c>
      <c r="E105" s="282">
        <v>36750</v>
      </c>
      <c r="F105" s="48">
        <f>D105*E105</f>
        <v>82687500</v>
      </c>
      <c r="G105" s="295">
        <f>F105*C4</f>
        <v>384496.87499999994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51"/>
      <c r="R105" s="262"/>
      <c r="S105" s="225">
        <f t="shared" si="1"/>
        <v>-82687500</v>
      </c>
      <c r="T105" s="231">
        <f t="shared" si="2"/>
        <v>-1</v>
      </c>
      <c r="U105" s="225">
        <f t="shared" si="3"/>
        <v>0</v>
      </c>
      <c r="V105" s="225">
        <f t="shared" si="4"/>
        <v>-384496.87499999994</v>
      </c>
      <c r="W105" s="231">
        <f t="shared" si="5"/>
        <v>-1</v>
      </c>
      <c r="X105" s="231"/>
    </row>
    <row r="106" spans="1:24" x14ac:dyDescent="0.25">
      <c r="A106" s="148" t="s">
        <v>197</v>
      </c>
      <c r="B106" s="106" t="s">
        <v>598</v>
      </c>
      <c r="C106" s="28" t="s">
        <v>392</v>
      </c>
      <c r="D106" s="281">
        <v>215</v>
      </c>
      <c r="E106" s="282">
        <f>595*490</f>
        <v>291550</v>
      </c>
      <c r="F106" s="48">
        <f>D106*E106</f>
        <v>62683250</v>
      </c>
      <c r="G106" s="295">
        <f>F106*C4</f>
        <v>291477.11249999999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51"/>
      <c r="R106" s="262"/>
      <c r="S106" s="225">
        <f t="shared" si="1"/>
        <v>-62683250</v>
      </c>
      <c r="T106" s="231">
        <f t="shared" si="2"/>
        <v>-1</v>
      </c>
      <c r="U106" s="225">
        <f t="shared" si="3"/>
        <v>0</v>
      </c>
      <c r="V106" s="225">
        <f t="shared" si="4"/>
        <v>-291477.11249999999</v>
      </c>
      <c r="W106" s="231">
        <f t="shared" si="5"/>
        <v>-1</v>
      </c>
      <c r="X106" s="231"/>
    </row>
    <row r="107" spans="1:24" hidden="1" x14ac:dyDescent="0.25">
      <c r="A107" s="148" t="s">
        <v>198</v>
      </c>
      <c r="B107" s="106" t="s">
        <v>252</v>
      </c>
      <c r="C107" s="28"/>
      <c r="D107" s="29"/>
      <c r="E107" s="30"/>
      <c r="F107" s="48">
        <f>D107*E107</f>
        <v>0</v>
      </c>
      <c r="G107" s="295">
        <f>F107*C4</f>
        <v>0</v>
      </c>
      <c r="H107" s="242"/>
      <c r="I107" s="242"/>
      <c r="J107" s="242"/>
      <c r="K107" s="242"/>
      <c r="L107" s="242"/>
      <c r="M107" s="242"/>
      <c r="N107" s="242"/>
      <c r="O107" s="242"/>
      <c r="P107" s="242"/>
      <c r="Q107" s="251"/>
      <c r="R107" s="262"/>
      <c r="S107" s="225">
        <f t="shared" si="1"/>
        <v>0</v>
      </c>
      <c r="T107" s="231">
        <f t="shared" si="2"/>
        <v>0</v>
      </c>
      <c r="U107" s="225">
        <f t="shared" si="3"/>
        <v>0</v>
      </c>
      <c r="V107" s="225">
        <f t="shared" si="4"/>
        <v>0</v>
      </c>
      <c r="W107" s="231">
        <f t="shared" si="5"/>
        <v>0</v>
      </c>
      <c r="X107" s="231"/>
    </row>
    <row r="108" spans="1:24" hidden="1" x14ac:dyDescent="0.25">
      <c r="A108" s="148" t="s">
        <v>199</v>
      </c>
      <c r="B108" s="106" t="s">
        <v>253</v>
      </c>
      <c r="C108" s="28"/>
      <c r="D108" s="29"/>
      <c r="E108" s="30"/>
      <c r="F108" s="48">
        <f>D108*E108</f>
        <v>0</v>
      </c>
      <c r="G108" s="295">
        <f>F108*C4</f>
        <v>0</v>
      </c>
      <c r="H108" s="242"/>
      <c r="I108" s="242"/>
      <c r="J108" s="242"/>
      <c r="K108" s="242"/>
      <c r="L108" s="242"/>
      <c r="M108" s="242"/>
      <c r="N108" s="242"/>
      <c r="O108" s="242"/>
      <c r="P108" s="242"/>
      <c r="Q108" s="251"/>
      <c r="R108" s="262"/>
      <c r="S108" s="225">
        <f t="shared" si="1"/>
        <v>0</v>
      </c>
      <c r="T108" s="231">
        <f t="shared" si="2"/>
        <v>0</v>
      </c>
      <c r="U108" s="225">
        <f t="shared" si="3"/>
        <v>0</v>
      </c>
      <c r="V108" s="225">
        <f t="shared" si="4"/>
        <v>0</v>
      </c>
      <c r="W108" s="231">
        <f t="shared" si="5"/>
        <v>0</v>
      </c>
      <c r="X108" s="231"/>
    </row>
    <row r="109" spans="1:24" x14ac:dyDescent="0.25">
      <c r="A109" s="220" t="s">
        <v>95</v>
      </c>
      <c r="B109" s="221" t="s">
        <v>55</v>
      </c>
      <c r="C109" s="210"/>
      <c r="D109" s="211"/>
      <c r="E109" s="212"/>
      <c r="F109" s="208">
        <f>SUM(F110:F114)</f>
        <v>44100000</v>
      </c>
      <c r="G109" s="315">
        <f>SUM(G110:G114)</f>
        <v>205064.99999999997</v>
      </c>
      <c r="H109" s="242"/>
      <c r="I109" s="242"/>
      <c r="J109" s="242"/>
      <c r="K109" s="242"/>
      <c r="L109" s="242"/>
      <c r="M109" s="242"/>
      <c r="N109" s="242"/>
      <c r="O109" s="242"/>
      <c r="P109" s="242"/>
      <c r="Q109" s="251"/>
      <c r="R109" s="262"/>
      <c r="S109" s="239">
        <f t="shared" si="1"/>
        <v>-44100000</v>
      </c>
      <c r="T109" s="240">
        <f t="shared" si="2"/>
        <v>-1</v>
      </c>
      <c r="U109" s="239">
        <f t="shared" si="3"/>
        <v>0</v>
      </c>
      <c r="V109" s="239">
        <f t="shared" si="4"/>
        <v>-205064.99999999997</v>
      </c>
      <c r="W109" s="240">
        <f t="shared" si="5"/>
        <v>-1</v>
      </c>
      <c r="X109" s="240"/>
    </row>
    <row r="110" spans="1:24" x14ac:dyDescent="0.25">
      <c r="A110" s="148" t="s">
        <v>200</v>
      </c>
      <c r="B110" s="106" t="s">
        <v>599</v>
      </c>
      <c r="C110" s="28" t="s">
        <v>326</v>
      </c>
      <c r="D110" s="281">
        <v>2250</v>
      </c>
      <c r="E110" s="282">
        <f>40*490</f>
        <v>19600</v>
      </c>
      <c r="F110" s="48">
        <f>D110*E110</f>
        <v>44100000</v>
      </c>
      <c r="G110" s="295">
        <f>F110*C4</f>
        <v>205064.99999999997</v>
      </c>
      <c r="H110" s="242"/>
      <c r="I110" s="242"/>
      <c r="J110" s="242"/>
      <c r="K110" s="242"/>
      <c r="L110" s="242"/>
      <c r="M110" s="242"/>
      <c r="N110" s="242"/>
      <c r="O110" s="242"/>
      <c r="P110" s="242"/>
      <c r="Q110" s="251"/>
      <c r="R110" s="262"/>
      <c r="S110" s="225">
        <f t="shared" si="1"/>
        <v>-44100000</v>
      </c>
      <c r="T110" s="231">
        <f t="shared" si="2"/>
        <v>-1</v>
      </c>
      <c r="U110" s="225">
        <f t="shared" si="3"/>
        <v>0</v>
      </c>
      <c r="V110" s="225">
        <f t="shared" si="4"/>
        <v>-205064.99999999997</v>
      </c>
      <c r="W110" s="231">
        <f t="shared" si="5"/>
        <v>-1</v>
      </c>
      <c r="X110" s="231"/>
    </row>
    <row r="111" spans="1:24" hidden="1" x14ac:dyDescent="0.25">
      <c r="A111" s="148" t="s">
        <v>201</v>
      </c>
      <c r="B111" s="106" t="s">
        <v>258</v>
      </c>
      <c r="C111" s="28"/>
      <c r="D111" s="29"/>
      <c r="E111" s="30"/>
      <c r="F111" s="48">
        <f>D111*E111</f>
        <v>0</v>
      </c>
      <c r="G111" s="295">
        <f>F111*C4</f>
        <v>0</v>
      </c>
      <c r="H111" s="242"/>
      <c r="I111" s="242"/>
      <c r="J111" s="242"/>
      <c r="K111" s="242"/>
      <c r="L111" s="242"/>
      <c r="M111" s="242"/>
      <c r="N111" s="242"/>
      <c r="O111" s="242"/>
      <c r="P111" s="242"/>
      <c r="Q111" s="251"/>
      <c r="R111" s="262"/>
      <c r="S111" s="225">
        <f t="shared" si="1"/>
        <v>0</v>
      </c>
      <c r="T111" s="231">
        <f t="shared" si="2"/>
        <v>0</v>
      </c>
      <c r="U111" s="225">
        <f t="shared" si="3"/>
        <v>0</v>
      </c>
      <c r="V111" s="225">
        <f t="shared" si="4"/>
        <v>0</v>
      </c>
      <c r="W111" s="231">
        <f t="shared" si="5"/>
        <v>0</v>
      </c>
      <c r="X111" s="231"/>
    </row>
    <row r="112" spans="1:24" hidden="1" x14ac:dyDescent="0.25">
      <c r="A112" s="148" t="s">
        <v>202</v>
      </c>
      <c r="B112" s="106" t="s">
        <v>257</v>
      </c>
      <c r="C112" s="28"/>
      <c r="D112" s="29"/>
      <c r="E112" s="30"/>
      <c r="F112" s="48">
        <f>D112*E112</f>
        <v>0</v>
      </c>
      <c r="G112" s="295">
        <f>F112*C4</f>
        <v>0</v>
      </c>
      <c r="H112" s="242"/>
      <c r="I112" s="242"/>
      <c r="J112" s="242"/>
      <c r="K112" s="242"/>
      <c r="L112" s="242"/>
      <c r="M112" s="242"/>
      <c r="N112" s="242"/>
      <c r="O112" s="242"/>
      <c r="P112" s="242"/>
      <c r="Q112" s="251"/>
      <c r="R112" s="262"/>
      <c r="S112" s="225">
        <f t="shared" si="1"/>
        <v>0</v>
      </c>
      <c r="T112" s="231">
        <f t="shared" si="2"/>
        <v>0</v>
      </c>
      <c r="U112" s="225">
        <f t="shared" si="3"/>
        <v>0</v>
      </c>
      <c r="V112" s="225">
        <f t="shared" si="4"/>
        <v>0</v>
      </c>
      <c r="W112" s="231">
        <f t="shared" si="5"/>
        <v>0</v>
      </c>
      <c r="X112" s="231"/>
    </row>
    <row r="113" spans="1:24" hidden="1" x14ac:dyDescent="0.25">
      <c r="A113" s="148" t="s">
        <v>203</v>
      </c>
      <c r="B113" s="106" t="s">
        <v>256</v>
      </c>
      <c r="C113" s="28"/>
      <c r="D113" s="29"/>
      <c r="E113" s="30"/>
      <c r="F113" s="48">
        <f>D113*E113</f>
        <v>0</v>
      </c>
      <c r="G113" s="295">
        <f>F113*C4</f>
        <v>0</v>
      </c>
      <c r="H113" s="242"/>
      <c r="I113" s="242"/>
      <c r="J113" s="242"/>
      <c r="K113" s="242"/>
      <c r="L113" s="242"/>
      <c r="M113" s="242"/>
      <c r="N113" s="242"/>
      <c r="O113" s="242"/>
      <c r="P113" s="242"/>
      <c r="Q113" s="251"/>
      <c r="R113" s="262"/>
      <c r="S113" s="225">
        <f t="shared" si="1"/>
        <v>0</v>
      </c>
      <c r="T113" s="231">
        <f t="shared" si="2"/>
        <v>0</v>
      </c>
      <c r="U113" s="225">
        <f t="shared" si="3"/>
        <v>0</v>
      </c>
      <c r="V113" s="225">
        <f t="shared" si="4"/>
        <v>0</v>
      </c>
      <c r="W113" s="231">
        <f t="shared" si="5"/>
        <v>0</v>
      </c>
      <c r="X113" s="231"/>
    </row>
    <row r="114" spans="1:24" hidden="1" x14ac:dyDescent="0.25">
      <c r="A114" s="148" t="s">
        <v>204</v>
      </c>
      <c r="B114" s="106" t="s">
        <v>255</v>
      </c>
      <c r="C114" s="28"/>
      <c r="D114" s="29"/>
      <c r="E114" s="30"/>
      <c r="F114" s="48">
        <f>D114*E114</f>
        <v>0</v>
      </c>
      <c r="G114" s="295">
        <f>F114*C4</f>
        <v>0</v>
      </c>
      <c r="H114" s="242"/>
      <c r="I114" s="242"/>
      <c r="J114" s="242"/>
      <c r="K114" s="242"/>
      <c r="L114" s="242"/>
      <c r="M114" s="242"/>
      <c r="N114" s="242"/>
      <c r="O114" s="242"/>
      <c r="P114" s="242"/>
      <c r="Q114" s="251"/>
      <c r="R114" s="262"/>
      <c r="S114" s="225">
        <f t="shared" si="1"/>
        <v>0</v>
      </c>
      <c r="T114" s="231">
        <f t="shared" si="2"/>
        <v>0</v>
      </c>
      <c r="U114" s="225">
        <f t="shared" si="3"/>
        <v>0</v>
      </c>
      <c r="V114" s="225">
        <f t="shared" si="4"/>
        <v>0</v>
      </c>
      <c r="W114" s="231">
        <f t="shared" si="5"/>
        <v>0</v>
      </c>
      <c r="X114" s="231"/>
    </row>
    <row r="115" spans="1:24" hidden="1" x14ac:dyDescent="0.25">
      <c r="A115" s="220" t="s">
        <v>96</v>
      </c>
      <c r="B115" s="221" t="s">
        <v>67</v>
      </c>
      <c r="C115" s="210"/>
      <c r="D115" s="211"/>
      <c r="E115" s="212"/>
      <c r="F115" s="208">
        <f>SUM(F116:F120)</f>
        <v>0</v>
      </c>
      <c r="G115" s="315">
        <f>SUM(G116:G120)</f>
        <v>0</v>
      </c>
      <c r="H115" s="242"/>
      <c r="I115" s="242"/>
      <c r="J115" s="242"/>
      <c r="K115" s="242"/>
      <c r="L115" s="242"/>
      <c r="M115" s="242"/>
      <c r="N115" s="242"/>
      <c r="O115" s="242"/>
      <c r="P115" s="242"/>
      <c r="Q115" s="251"/>
      <c r="R115" s="262"/>
      <c r="S115" s="239">
        <f t="shared" si="1"/>
        <v>0</v>
      </c>
      <c r="T115" s="240">
        <f t="shared" si="2"/>
        <v>0</v>
      </c>
      <c r="U115" s="239">
        <f t="shared" si="3"/>
        <v>0</v>
      </c>
      <c r="V115" s="239">
        <f t="shared" si="4"/>
        <v>0</v>
      </c>
      <c r="W115" s="240">
        <f t="shared" si="5"/>
        <v>0</v>
      </c>
      <c r="X115" s="240"/>
    </row>
    <row r="116" spans="1:24" hidden="1" x14ac:dyDescent="0.25">
      <c r="A116" s="148" t="s">
        <v>205</v>
      </c>
      <c r="B116" s="106" t="s">
        <v>259</v>
      </c>
      <c r="C116" s="28"/>
      <c r="D116" s="29"/>
      <c r="E116" s="30"/>
      <c r="F116" s="48">
        <f>D116*E116</f>
        <v>0</v>
      </c>
      <c r="G116" s="295">
        <f>F116*C4</f>
        <v>0</v>
      </c>
      <c r="H116" s="242"/>
      <c r="I116" s="242"/>
      <c r="J116" s="242"/>
      <c r="K116" s="242"/>
      <c r="L116" s="242"/>
      <c r="M116" s="242"/>
      <c r="N116" s="242"/>
      <c r="O116" s="242"/>
      <c r="P116" s="242"/>
      <c r="Q116" s="251"/>
      <c r="R116" s="262"/>
      <c r="S116" s="225">
        <f t="shared" si="1"/>
        <v>0</v>
      </c>
      <c r="T116" s="231">
        <f t="shared" si="2"/>
        <v>0</v>
      </c>
      <c r="U116" s="225">
        <f t="shared" si="3"/>
        <v>0</v>
      </c>
      <c r="V116" s="225">
        <f t="shared" si="4"/>
        <v>0</v>
      </c>
      <c r="W116" s="231">
        <f t="shared" si="5"/>
        <v>0</v>
      </c>
      <c r="X116" s="231"/>
    </row>
    <row r="117" spans="1:24" hidden="1" x14ac:dyDescent="0.25">
      <c r="A117" s="148" t="s">
        <v>206</v>
      </c>
      <c r="B117" s="106" t="s">
        <v>260</v>
      </c>
      <c r="C117" s="28"/>
      <c r="D117" s="29"/>
      <c r="E117" s="30"/>
      <c r="F117" s="48">
        <f>D117*E117</f>
        <v>0</v>
      </c>
      <c r="G117" s="295">
        <f>F117*C4</f>
        <v>0</v>
      </c>
      <c r="H117" s="242"/>
      <c r="I117" s="242"/>
      <c r="J117" s="242"/>
      <c r="K117" s="242"/>
      <c r="L117" s="242"/>
      <c r="M117" s="242"/>
      <c r="N117" s="242"/>
      <c r="O117" s="242"/>
      <c r="P117" s="242"/>
      <c r="Q117" s="251"/>
      <c r="R117" s="262"/>
      <c r="S117" s="225">
        <f t="shared" si="1"/>
        <v>0</v>
      </c>
      <c r="T117" s="231">
        <f t="shared" si="2"/>
        <v>0</v>
      </c>
      <c r="U117" s="225">
        <f t="shared" si="3"/>
        <v>0</v>
      </c>
      <c r="V117" s="225">
        <f t="shared" si="4"/>
        <v>0</v>
      </c>
      <c r="W117" s="231">
        <f t="shared" si="5"/>
        <v>0</v>
      </c>
      <c r="X117" s="231"/>
    </row>
    <row r="118" spans="1:24" hidden="1" x14ac:dyDescent="0.25">
      <c r="A118" s="148" t="s">
        <v>207</v>
      </c>
      <c r="B118" s="106" t="s">
        <v>261</v>
      </c>
      <c r="C118" s="28"/>
      <c r="D118" s="29"/>
      <c r="E118" s="30"/>
      <c r="F118" s="48">
        <f>D118*E118</f>
        <v>0</v>
      </c>
      <c r="G118" s="295">
        <f>F118*C4</f>
        <v>0</v>
      </c>
      <c r="H118" s="242"/>
      <c r="I118" s="242"/>
      <c r="J118" s="242"/>
      <c r="K118" s="242"/>
      <c r="L118" s="242"/>
      <c r="M118" s="242"/>
      <c r="N118" s="242"/>
      <c r="O118" s="242"/>
      <c r="P118" s="242"/>
      <c r="Q118" s="251"/>
      <c r="R118" s="262"/>
      <c r="S118" s="225">
        <f t="shared" si="1"/>
        <v>0</v>
      </c>
      <c r="T118" s="231">
        <f t="shared" si="2"/>
        <v>0</v>
      </c>
      <c r="U118" s="225">
        <f t="shared" si="3"/>
        <v>0</v>
      </c>
      <c r="V118" s="225">
        <f t="shared" si="4"/>
        <v>0</v>
      </c>
      <c r="W118" s="231">
        <f t="shared" si="5"/>
        <v>0</v>
      </c>
      <c r="X118" s="231"/>
    </row>
    <row r="119" spans="1:24" hidden="1" x14ac:dyDescent="0.25">
      <c r="A119" s="148" t="s">
        <v>208</v>
      </c>
      <c r="B119" s="106" t="s">
        <v>262</v>
      </c>
      <c r="C119" s="28"/>
      <c r="D119" s="29"/>
      <c r="E119" s="30"/>
      <c r="F119" s="48">
        <f>D119*E119</f>
        <v>0</v>
      </c>
      <c r="G119" s="295">
        <f>F119*C4</f>
        <v>0</v>
      </c>
      <c r="H119" s="242"/>
      <c r="I119" s="242"/>
      <c r="J119" s="242"/>
      <c r="K119" s="242"/>
      <c r="L119" s="242"/>
      <c r="M119" s="242"/>
      <c r="N119" s="242"/>
      <c r="O119" s="242"/>
      <c r="P119" s="242"/>
      <c r="Q119" s="251"/>
      <c r="R119" s="262"/>
      <c r="S119" s="225">
        <f t="shared" si="1"/>
        <v>0</v>
      </c>
      <c r="T119" s="231">
        <f t="shared" si="2"/>
        <v>0</v>
      </c>
      <c r="U119" s="225">
        <f t="shared" si="3"/>
        <v>0</v>
      </c>
      <c r="V119" s="225">
        <f t="shared" si="4"/>
        <v>0</v>
      </c>
      <c r="W119" s="231">
        <f t="shared" si="5"/>
        <v>0</v>
      </c>
      <c r="X119" s="231"/>
    </row>
    <row r="120" spans="1:24" hidden="1" x14ac:dyDescent="0.25">
      <c r="A120" s="148" t="s">
        <v>209</v>
      </c>
      <c r="B120" s="106" t="s">
        <v>263</v>
      </c>
      <c r="C120" s="28"/>
      <c r="D120" s="29"/>
      <c r="E120" s="30"/>
      <c r="F120" s="48">
        <f>D120*E120</f>
        <v>0</v>
      </c>
      <c r="G120" s="295">
        <f>F120*C4</f>
        <v>0</v>
      </c>
      <c r="H120" s="242"/>
      <c r="I120" s="242"/>
      <c r="J120" s="242"/>
      <c r="K120" s="242"/>
      <c r="L120" s="242"/>
      <c r="M120" s="242"/>
      <c r="N120" s="242"/>
      <c r="O120" s="242"/>
      <c r="P120" s="242"/>
      <c r="Q120" s="251"/>
      <c r="R120" s="262"/>
      <c r="S120" s="225">
        <f t="shared" si="1"/>
        <v>0</v>
      </c>
      <c r="T120" s="231">
        <f t="shared" si="2"/>
        <v>0</v>
      </c>
      <c r="U120" s="225">
        <f t="shared" si="3"/>
        <v>0</v>
      </c>
      <c r="V120" s="225">
        <f t="shared" si="4"/>
        <v>0</v>
      </c>
      <c r="W120" s="231">
        <f t="shared" si="5"/>
        <v>0</v>
      </c>
      <c r="X120" s="231"/>
    </row>
    <row r="121" spans="1:24" x14ac:dyDescent="0.25">
      <c r="A121" s="220" t="s">
        <v>97</v>
      </c>
      <c r="B121" s="221" t="s">
        <v>68</v>
      </c>
      <c r="C121" s="210"/>
      <c r="D121" s="211"/>
      <c r="E121" s="212"/>
      <c r="F121" s="208">
        <f>SUM(F122:F126)</f>
        <v>63700000</v>
      </c>
      <c r="G121" s="315">
        <f>SUM(G122:G126)</f>
        <v>296204.99999999994</v>
      </c>
      <c r="H121" s="242"/>
      <c r="I121" s="242"/>
      <c r="J121" s="242"/>
      <c r="K121" s="242"/>
      <c r="L121" s="242"/>
      <c r="M121" s="242"/>
      <c r="N121" s="242"/>
      <c r="O121" s="242"/>
      <c r="P121" s="242"/>
      <c r="Q121" s="251"/>
      <c r="R121" s="262"/>
      <c r="S121" s="239">
        <f t="shared" si="1"/>
        <v>-63700000</v>
      </c>
      <c r="T121" s="240">
        <f t="shared" si="2"/>
        <v>-1</v>
      </c>
      <c r="U121" s="239">
        <f t="shared" si="3"/>
        <v>0</v>
      </c>
      <c r="V121" s="239">
        <f t="shared" si="4"/>
        <v>-296204.99999999994</v>
      </c>
      <c r="W121" s="240">
        <f t="shared" si="5"/>
        <v>-1</v>
      </c>
      <c r="X121" s="240"/>
    </row>
    <row r="122" spans="1:24" x14ac:dyDescent="0.25">
      <c r="A122" s="148" t="s">
        <v>210</v>
      </c>
      <c r="B122" s="106" t="s">
        <v>600</v>
      </c>
      <c r="C122" s="28" t="s">
        <v>601</v>
      </c>
      <c r="D122" s="281">
        <v>300</v>
      </c>
      <c r="E122" s="282">
        <f>300*490</f>
        <v>147000</v>
      </c>
      <c r="F122" s="48">
        <f>D122*E122</f>
        <v>44100000</v>
      </c>
      <c r="G122" s="295">
        <f>F122*C4</f>
        <v>205064.99999999997</v>
      </c>
      <c r="H122" s="242"/>
      <c r="I122" s="242"/>
      <c r="J122" s="242"/>
      <c r="K122" s="242"/>
      <c r="L122" s="242"/>
      <c r="M122" s="242"/>
      <c r="N122" s="242"/>
      <c r="O122" s="242"/>
      <c r="P122" s="242"/>
      <c r="Q122" s="251"/>
      <c r="R122" s="262"/>
      <c r="S122" s="225">
        <f t="shared" si="1"/>
        <v>-44100000</v>
      </c>
      <c r="T122" s="231">
        <f t="shared" si="2"/>
        <v>-1</v>
      </c>
      <c r="U122" s="225">
        <f t="shared" si="3"/>
        <v>0</v>
      </c>
      <c r="V122" s="225">
        <f t="shared" si="4"/>
        <v>-205064.99999999997</v>
      </c>
      <c r="W122" s="231">
        <f t="shared" si="5"/>
        <v>-1</v>
      </c>
      <c r="X122" s="231"/>
    </row>
    <row r="123" spans="1:24" x14ac:dyDescent="0.25">
      <c r="A123" s="148" t="s">
        <v>211</v>
      </c>
      <c r="B123" s="106" t="s">
        <v>602</v>
      </c>
      <c r="C123" s="28" t="s">
        <v>603</v>
      </c>
      <c r="D123" s="281">
        <v>200</v>
      </c>
      <c r="E123" s="282">
        <f>200*490</f>
        <v>98000</v>
      </c>
      <c r="F123" s="48">
        <f>D123*E123</f>
        <v>19600000</v>
      </c>
      <c r="G123" s="295">
        <f>F123*C4</f>
        <v>91139.999999999985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51"/>
      <c r="R123" s="262"/>
      <c r="S123" s="225">
        <f t="shared" si="1"/>
        <v>-19600000</v>
      </c>
      <c r="T123" s="231">
        <f t="shared" si="2"/>
        <v>-1</v>
      </c>
      <c r="U123" s="225">
        <f t="shared" si="3"/>
        <v>0</v>
      </c>
      <c r="V123" s="225">
        <f t="shared" si="4"/>
        <v>-91139.999999999985</v>
      </c>
      <c r="W123" s="231">
        <f t="shared" si="5"/>
        <v>-1</v>
      </c>
      <c r="X123" s="231"/>
    </row>
    <row r="124" spans="1:24" hidden="1" x14ac:dyDescent="0.25">
      <c r="A124" s="148" t="s">
        <v>212</v>
      </c>
      <c r="B124" s="106" t="s">
        <v>266</v>
      </c>
      <c r="C124" s="28"/>
      <c r="D124" s="29"/>
      <c r="E124" s="30"/>
      <c r="F124" s="48">
        <f>D124*E124</f>
        <v>0</v>
      </c>
      <c r="G124" s="295">
        <f>F124*C4</f>
        <v>0</v>
      </c>
      <c r="H124" s="242"/>
      <c r="I124" s="242"/>
      <c r="J124" s="242"/>
      <c r="K124" s="242"/>
      <c r="L124" s="242"/>
      <c r="M124" s="242"/>
      <c r="N124" s="242"/>
      <c r="O124" s="242"/>
      <c r="P124" s="242"/>
      <c r="Q124" s="251"/>
      <c r="R124" s="262"/>
      <c r="S124" s="225">
        <f t="shared" si="1"/>
        <v>0</v>
      </c>
      <c r="T124" s="231">
        <f t="shared" si="2"/>
        <v>0</v>
      </c>
      <c r="U124" s="225">
        <f t="shared" si="3"/>
        <v>0</v>
      </c>
      <c r="V124" s="225">
        <f t="shared" si="4"/>
        <v>0</v>
      </c>
      <c r="W124" s="231">
        <f t="shared" si="5"/>
        <v>0</v>
      </c>
      <c r="X124" s="231"/>
    </row>
    <row r="125" spans="1:24" hidden="1" x14ac:dyDescent="0.25">
      <c r="A125" s="148" t="s">
        <v>213</v>
      </c>
      <c r="B125" s="106" t="s">
        <v>267</v>
      </c>
      <c r="C125" s="28"/>
      <c r="D125" s="29"/>
      <c r="E125" s="30"/>
      <c r="F125" s="48">
        <f>D125*E125</f>
        <v>0</v>
      </c>
      <c r="G125" s="295">
        <f>F125*C4</f>
        <v>0</v>
      </c>
      <c r="H125" s="242"/>
      <c r="I125" s="242"/>
      <c r="J125" s="242"/>
      <c r="K125" s="242"/>
      <c r="L125" s="242"/>
      <c r="M125" s="242"/>
      <c r="N125" s="242"/>
      <c r="O125" s="242"/>
      <c r="P125" s="242"/>
      <c r="Q125" s="251"/>
      <c r="R125" s="262"/>
      <c r="S125" s="225">
        <f t="shared" si="1"/>
        <v>0</v>
      </c>
      <c r="T125" s="231">
        <f t="shared" si="2"/>
        <v>0</v>
      </c>
      <c r="U125" s="225">
        <f t="shared" si="3"/>
        <v>0</v>
      </c>
      <c r="V125" s="225">
        <f t="shared" si="4"/>
        <v>0</v>
      </c>
      <c r="W125" s="231">
        <f t="shared" si="5"/>
        <v>0</v>
      </c>
      <c r="X125" s="231"/>
    </row>
    <row r="126" spans="1:24" hidden="1" x14ac:dyDescent="0.25">
      <c r="A126" s="148" t="s">
        <v>214</v>
      </c>
      <c r="B126" s="106" t="s">
        <v>268</v>
      </c>
      <c r="C126" s="28"/>
      <c r="D126" s="29"/>
      <c r="E126" s="30"/>
      <c r="F126" s="48">
        <f>D126*E126</f>
        <v>0</v>
      </c>
      <c r="G126" s="295">
        <f>F126*C4</f>
        <v>0</v>
      </c>
      <c r="H126" s="242"/>
      <c r="I126" s="242"/>
      <c r="J126" s="242"/>
      <c r="K126" s="242"/>
      <c r="L126" s="242"/>
      <c r="M126" s="242"/>
      <c r="N126" s="242"/>
      <c r="O126" s="242"/>
      <c r="P126" s="242"/>
      <c r="Q126" s="251"/>
      <c r="R126" s="262"/>
      <c r="S126" s="225">
        <f t="shared" si="1"/>
        <v>0</v>
      </c>
      <c r="T126" s="231">
        <f t="shared" si="2"/>
        <v>0</v>
      </c>
      <c r="U126" s="225">
        <f t="shared" si="3"/>
        <v>0</v>
      </c>
      <c r="V126" s="225">
        <f t="shared" si="4"/>
        <v>0</v>
      </c>
      <c r="W126" s="231">
        <f t="shared" si="5"/>
        <v>0</v>
      </c>
      <c r="X126" s="231"/>
    </row>
    <row r="127" spans="1:24" hidden="1" x14ac:dyDescent="0.25">
      <c r="A127" s="220" t="s">
        <v>98</v>
      </c>
      <c r="B127" s="221" t="s">
        <v>69</v>
      </c>
      <c r="C127" s="210"/>
      <c r="D127" s="211"/>
      <c r="E127" s="212"/>
      <c r="F127" s="208">
        <f>SUM(F128:F132)</f>
        <v>0</v>
      </c>
      <c r="G127" s="315">
        <f>SUM(G128:G132)</f>
        <v>0</v>
      </c>
      <c r="H127" s="242"/>
      <c r="I127" s="242"/>
      <c r="J127" s="242"/>
      <c r="K127" s="242"/>
      <c r="L127" s="242"/>
      <c r="M127" s="242"/>
      <c r="N127" s="242"/>
      <c r="O127" s="242"/>
      <c r="P127" s="242"/>
      <c r="Q127" s="251"/>
      <c r="R127" s="262"/>
      <c r="S127" s="239">
        <f t="shared" si="1"/>
        <v>0</v>
      </c>
      <c r="T127" s="240">
        <f t="shared" si="2"/>
        <v>0</v>
      </c>
      <c r="U127" s="239">
        <f t="shared" si="3"/>
        <v>0</v>
      </c>
      <c r="V127" s="239">
        <f t="shared" si="4"/>
        <v>0</v>
      </c>
      <c r="W127" s="240">
        <f t="shared" si="5"/>
        <v>0</v>
      </c>
      <c r="X127" s="240"/>
    </row>
    <row r="128" spans="1:24" hidden="1" x14ac:dyDescent="0.25">
      <c r="A128" s="148" t="s">
        <v>215</v>
      </c>
      <c r="B128" s="106" t="s">
        <v>269</v>
      </c>
      <c r="C128" s="28"/>
      <c r="D128" s="29"/>
      <c r="E128" s="30"/>
      <c r="F128" s="48">
        <f>D128*E128</f>
        <v>0</v>
      </c>
      <c r="G128" s="295">
        <f>F128*C4</f>
        <v>0</v>
      </c>
      <c r="H128" s="242"/>
      <c r="I128" s="242"/>
      <c r="J128" s="242"/>
      <c r="K128" s="242"/>
      <c r="L128" s="242"/>
      <c r="M128" s="242"/>
      <c r="N128" s="242"/>
      <c r="O128" s="242"/>
      <c r="P128" s="242"/>
      <c r="Q128" s="251"/>
      <c r="R128" s="262"/>
      <c r="S128" s="225">
        <f t="shared" si="1"/>
        <v>0</v>
      </c>
      <c r="T128" s="231">
        <f t="shared" si="2"/>
        <v>0</v>
      </c>
      <c r="U128" s="225">
        <f t="shared" si="3"/>
        <v>0</v>
      </c>
      <c r="V128" s="225">
        <f t="shared" si="4"/>
        <v>0</v>
      </c>
      <c r="W128" s="231">
        <f t="shared" si="5"/>
        <v>0</v>
      </c>
      <c r="X128" s="231"/>
    </row>
    <row r="129" spans="1:24" hidden="1" x14ac:dyDescent="0.25">
      <c r="A129" s="148" t="s">
        <v>216</v>
      </c>
      <c r="B129" s="106" t="s">
        <v>270</v>
      </c>
      <c r="C129" s="28"/>
      <c r="D129" s="29"/>
      <c r="E129" s="30"/>
      <c r="F129" s="48">
        <f>D129*E129</f>
        <v>0</v>
      </c>
      <c r="G129" s="295">
        <f>F129*C4</f>
        <v>0</v>
      </c>
      <c r="H129" s="242"/>
      <c r="I129" s="242"/>
      <c r="J129" s="242"/>
      <c r="K129" s="242"/>
      <c r="L129" s="242"/>
      <c r="M129" s="242"/>
      <c r="N129" s="242"/>
      <c r="O129" s="242"/>
      <c r="P129" s="242"/>
      <c r="Q129" s="251"/>
      <c r="R129" s="262"/>
      <c r="S129" s="225">
        <f t="shared" si="1"/>
        <v>0</v>
      </c>
      <c r="T129" s="231">
        <f t="shared" si="2"/>
        <v>0</v>
      </c>
      <c r="U129" s="225">
        <f t="shared" si="3"/>
        <v>0</v>
      </c>
      <c r="V129" s="225">
        <f t="shared" si="4"/>
        <v>0</v>
      </c>
      <c r="W129" s="231">
        <f t="shared" si="5"/>
        <v>0</v>
      </c>
      <c r="X129" s="231"/>
    </row>
    <row r="130" spans="1:24" hidden="1" x14ac:dyDescent="0.25">
      <c r="A130" s="148" t="s">
        <v>217</v>
      </c>
      <c r="B130" s="106" t="s">
        <v>271</v>
      </c>
      <c r="C130" s="28"/>
      <c r="D130" s="29"/>
      <c r="E130" s="30"/>
      <c r="F130" s="48">
        <f>D130*E130</f>
        <v>0</v>
      </c>
      <c r="G130" s="295">
        <f>F130*C4</f>
        <v>0</v>
      </c>
      <c r="H130" s="242"/>
      <c r="I130" s="242"/>
      <c r="J130" s="242"/>
      <c r="K130" s="242"/>
      <c r="L130" s="242"/>
      <c r="M130" s="242"/>
      <c r="N130" s="242"/>
      <c r="O130" s="242"/>
      <c r="P130" s="242"/>
      <c r="Q130" s="251"/>
      <c r="R130" s="262"/>
      <c r="S130" s="225">
        <f t="shared" si="1"/>
        <v>0</v>
      </c>
      <c r="T130" s="231">
        <f t="shared" si="2"/>
        <v>0</v>
      </c>
      <c r="U130" s="225">
        <f t="shared" si="3"/>
        <v>0</v>
      </c>
      <c r="V130" s="225">
        <f t="shared" si="4"/>
        <v>0</v>
      </c>
      <c r="W130" s="231">
        <f t="shared" si="5"/>
        <v>0</v>
      </c>
      <c r="X130" s="231"/>
    </row>
    <row r="131" spans="1:24" hidden="1" x14ac:dyDescent="0.25">
      <c r="A131" s="148" t="s">
        <v>218</v>
      </c>
      <c r="B131" s="106" t="s">
        <v>272</v>
      </c>
      <c r="C131" s="28"/>
      <c r="D131" s="29"/>
      <c r="E131" s="30"/>
      <c r="F131" s="48">
        <f>D131*E131</f>
        <v>0</v>
      </c>
      <c r="G131" s="295">
        <f>F131*C4</f>
        <v>0</v>
      </c>
      <c r="H131" s="242"/>
      <c r="I131" s="242"/>
      <c r="J131" s="242"/>
      <c r="K131" s="242"/>
      <c r="L131" s="242"/>
      <c r="M131" s="242"/>
      <c r="N131" s="242"/>
      <c r="O131" s="242"/>
      <c r="P131" s="242"/>
      <c r="Q131" s="251"/>
      <c r="R131" s="262"/>
      <c r="S131" s="225">
        <f t="shared" si="1"/>
        <v>0</v>
      </c>
      <c r="T131" s="231">
        <f t="shared" si="2"/>
        <v>0</v>
      </c>
      <c r="U131" s="225">
        <f t="shared" si="3"/>
        <v>0</v>
      </c>
      <c r="V131" s="225">
        <f t="shared" si="4"/>
        <v>0</v>
      </c>
      <c r="W131" s="231">
        <f t="shared" si="5"/>
        <v>0</v>
      </c>
      <c r="X131" s="231"/>
    </row>
    <row r="132" spans="1:24" hidden="1" x14ac:dyDescent="0.25">
      <c r="A132" s="148" t="s">
        <v>219</v>
      </c>
      <c r="B132" s="106" t="s">
        <v>273</v>
      </c>
      <c r="C132" s="28"/>
      <c r="D132" s="29"/>
      <c r="E132" s="30"/>
      <c r="F132" s="48">
        <f>D132*E132</f>
        <v>0</v>
      </c>
      <c r="G132" s="295">
        <f>F132*C4</f>
        <v>0</v>
      </c>
      <c r="H132" s="242"/>
      <c r="I132" s="242"/>
      <c r="J132" s="242"/>
      <c r="K132" s="242"/>
      <c r="L132" s="242"/>
      <c r="M132" s="242"/>
      <c r="N132" s="242"/>
      <c r="O132" s="242"/>
      <c r="P132" s="242"/>
      <c r="Q132" s="251"/>
      <c r="R132" s="262"/>
      <c r="S132" s="225">
        <f t="shared" si="1"/>
        <v>0</v>
      </c>
      <c r="T132" s="231">
        <f t="shared" si="2"/>
        <v>0</v>
      </c>
      <c r="U132" s="225">
        <f t="shared" si="3"/>
        <v>0</v>
      </c>
      <c r="V132" s="225">
        <f t="shared" si="4"/>
        <v>0</v>
      </c>
      <c r="W132" s="231">
        <f t="shared" si="5"/>
        <v>0</v>
      </c>
      <c r="X132" s="231"/>
    </row>
    <row r="133" spans="1:24" x14ac:dyDescent="0.25">
      <c r="A133" s="220" t="s">
        <v>99</v>
      </c>
      <c r="B133" s="221" t="s">
        <v>54</v>
      </c>
      <c r="C133" s="210"/>
      <c r="D133" s="211"/>
      <c r="E133" s="212"/>
      <c r="F133" s="208">
        <f>SUM(F134:F138)</f>
        <v>47040000</v>
      </c>
      <c r="G133" s="315">
        <f>SUM(G134:G138)</f>
        <v>218735.99999999997</v>
      </c>
      <c r="H133" s="242"/>
      <c r="I133" s="242"/>
      <c r="J133" s="242"/>
      <c r="K133" s="242"/>
      <c r="L133" s="242"/>
      <c r="M133" s="242"/>
      <c r="N133" s="242"/>
      <c r="O133" s="242"/>
      <c r="P133" s="242"/>
      <c r="Q133" s="251"/>
      <c r="R133" s="262"/>
      <c r="S133" s="239">
        <f t="shared" si="1"/>
        <v>-47040000</v>
      </c>
      <c r="T133" s="240">
        <f t="shared" si="2"/>
        <v>-1</v>
      </c>
      <c r="U133" s="239">
        <f t="shared" si="3"/>
        <v>0</v>
      </c>
      <c r="V133" s="239">
        <f t="shared" si="4"/>
        <v>-218735.99999999997</v>
      </c>
      <c r="W133" s="240">
        <f t="shared" si="5"/>
        <v>-1</v>
      </c>
      <c r="X133" s="240"/>
    </row>
    <row r="134" spans="1:24" x14ac:dyDescent="0.25">
      <c r="A134" s="148" t="s">
        <v>220</v>
      </c>
      <c r="B134" s="106" t="s">
        <v>604</v>
      </c>
      <c r="C134" s="28" t="s">
        <v>605</v>
      </c>
      <c r="D134" s="281">
        <v>12</v>
      </c>
      <c r="E134" s="282">
        <f>8000*490</f>
        <v>3920000</v>
      </c>
      <c r="F134" s="48">
        <f>D134*E134</f>
        <v>47040000</v>
      </c>
      <c r="G134" s="295">
        <f>F134*C4</f>
        <v>218735.99999999997</v>
      </c>
      <c r="H134" s="242"/>
      <c r="I134" s="242"/>
      <c r="J134" s="242"/>
      <c r="K134" s="242"/>
      <c r="L134" s="242"/>
      <c r="M134" s="242"/>
      <c r="N134" s="242"/>
      <c r="O134" s="242"/>
      <c r="P134" s="242"/>
      <c r="Q134" s="251"/>
      <c r="R134" s="262"/>
      <c r="S134" s="225">
        <f t="shared" si="1"/>
        <v>-47040000</v>
      </c>
      <c r="T134" s="231">
        <f t="shared" si="2"/>
        <v>-1</v>
      </c>
      <c r="U134" s="225">
        <f t="shared" si="3"/>
        <v>0</v>
      </c>
      <c r="V134" s="225">
        <f t="shared" si="4"/>
        <v>-218735.99999999997</v>
      </c>
      <c r="W134" s="231">
        <f t="shared" si="5"/>
        <v>-1</v>
      </c>
      <c r="X134" s="231"/>
    </row>
    <row r="135" spans="1:24" hidden="1" x14ac:dyDescent="0.25">
      <c r="A135" s="148" t="s">
        <v>221</v>
      </c>
      <c r="B135" s="106" t="s">
        <v>275</v>
      </c>
      <c r="C135" s="28"/>
      <c r="D135" s="29"/>
      <c r="E135" s="30"/>
      <c r="F135" s="48">
        <f>D135*E135</f>
        <v>0</v>
      </c>
      <c r="G135" s="295">
        <f>F135*C4</f>
        <v>0</v>
      </c>
      <c r="H135" s="242"/>
      <c r="I135" s="242"/>
      <c r="J135" s="242"/>
      <c r="K135" s="242"/>
      <c r="L135" s="242"/>
      <c r="M135" s="242"/>
      <c r="N135" s="242"/>
      <c r="O135" s="242"/>
      <c r="P135" s="242"/>
      <c r="Q135" s="251"/>
      <c r="R135" s="262"/>
      <c r="S135" s="225">
        <f t="shared" si="1"/>
        <v>0</v>
      </c>
      <c r="T135" s="231">
        <f t="shared" si="2"/>
        <v>0</v>
      </c>
      <c r="U135" s="225">
        <f t="shared" si="3"/>
        <v>0</v>
      </c>
      <c r="V135" s="225">
        <f t="shared" si="4"/>
        <v>0</v>
      </c>
      <c r="W135" s="231">
        <f t="shared" si="5"/>
        <v>0</v>
      </c>
      <c r="X135" s="231"/>
    </row>
    <row r="136" spans="1:24" hidden="1" x14ac:dyDescent="0.25">
      <c r="A136" s="148" t="s">
        <v>222</v>
      </c>
      <c r="B136" s="106" t="s">
        <v>276</v>
      </c>
      <c r="C136" s="28"/>
      <c r="D136" s="29"/>
      <c r="E136" s="30"/>
      <c r="F136" s="48">
        <f>D136*E136</f>
        <v>0</v>
      </c>
      <c r="G136" s="295">
        <f>F136*C4</f>
        <v>0</v>
      </c>
      <c r="H136" s="242"/>
      <c r="I136" s="242"/>
      <c r="J136" s="242"/>
      <c r="K136" s="242"/>
      <c r="L136" s="242"/>
      <c r="M136" s="242"/>
      <c r="N136" s="242"/>
      <c r="O136" s="242"/>
      <c r="P136" s="242"/>
      <c r="Q136" s="251"/>
      <c r="R136" s="262"/>
      <c r="S136" s="225">
        <f t="shared" si="1"/>
        <v>0</v>
      </c>
      <c r="T136" s="231">
        <f t="shared" si="2"/>
        <v>0</v>
      </c>
      <c r="U136" s="225">
        <f t="shared" si="3"/>
        <v>0</v>
      </c>
      <c r="V136" s="225">
        <f t="shared" si="4"/>
        <v>0</v>
      </c>
      <c r="W136" s="231">
        <f t="shared" si="5"/>
        <v>0</v>
      </c>
      <c r="X136" s="231"/>
    </row>
    <row r="137" spans="1:24" hidden="1" x14ac:dyDescent="0.25">
      <c r="A137" s="148" t="s">
        <v>223</v>
      </c>
      <c r="B137" s="106" t="s">
        <v>277</v>
      </c>
      <c r="C137" s="28"/>
      <c r="D137" s="29"/>
      <c r="E137" s="30"/>
      <c r="F137" s="48">
        <f>D137*E137</f>
        <v>0</v>
      </c>
      <c r="G137" s="295">
        <f>F137*C4</f>
        <v>0</v>
      </c>
      <c r="H137" s="242"/>
      <c r="I137" s="242"/>
      <c r="J137" s="242"/>
      <c r="K137" s="242"/>
      <c r="L137" s="242"/>
      <c r="M137" s="242"/>
      <c r="N137" s="242"/>
      <c r="O137" s="242"/>
      <c r="P137" s="242"/>
      <c r="Q137" s="251"/>
      <c r="R137" s="262"/>
      <c r="S137" s="225">
        <f t="shared" si="1"/>
        <v>0</v>
      </c>
      <c r="T137" s="231">
        <f t="shared" si="2"/>
        <v>0</v>
      </c>
      <c r="U137" s="225">
        <f t="shared" si="3"/>
        <v>0</v>
      </c>
      <c r="V137" s="225">
        <f t="shared" si="4"/>
        <v>0</v>
      </c>
      <c r="W137" s="231">
        <f t="shared" si="5"/>
        <v>0</v>
      </c>
      <c r="X137" s="231"/>
    </row>
    <row r="138" spans="1:24" hidden="1" x14ac:dyDescent="0.25">
      <c r="A138" s="148" t="s">
        <v>224</v>
      </c>
      <c r="B138" s="106" t="s">
        <v>278</v>
      </c>
      <c r="C138" s="28"/>
      <c r="D138" s="29"/>
      <c r="E138" s="30"/>
      <c r="F138" s="48">
        <f>D138*E138</f>
        <v>0</v>
      </c>
      <c r="G138" s="295">
        <f>F138*C4</f>
        <v>0</v>
      </c>
      <c r="H138" s="242"/>
      <c r="I138" s="242"/>
      <c r="J138" s="242"/>
      <c r="K138" s="242"/>
      <c r="L138" s="242"/>
      <c r="M138" s="242"/>
      <c r="N138" s="242"/>
      <c r="O138" s="242"/>
      <c r="P138" s="242"/>
      <c r="Q138" s="251"/>
      <c r="R138" s="262"/>
      <c r="S138" s="225">
        <f t="shared" si="1"/>
        <v>0</v>
      </c>
      <c r="T138" s="231">
        <f t="shared" si="2"/>
        <v>0</v>
      </c>
      <c r="U138" s="225">
        <f t="shared" si="3"/>
        <v>0</v>
      </c>
      <c r="V138" s="225">
        <f t="shared" si="4"/>
        <v>0</v>
      </c>
      <c r="W138" s="231">
        <f t="shared" si="5"/>
        <v>0</v>
      </c>
      <c r="X138" s="231"/>
    </row>
    <row r="139" spans="1:24" x14ac:dyDescent="0.25">
      <c r="A139" s="220" t="s">
        <v>100</v>
      </c>
      <c r="B139" s="221" t="s">
        <v>53</v>
      </c>
      <c r="C139" s="210"/>
      <c r="D139" s="211"/>
      <c r="E139" s="212"/>
      <c r="F139" s="208">
        <f>SUM(F140:F144)</f>
        <v>124950000</v>
      </c>
      <c r="G139" s="315">
        <f>SUM(G140:G144)</f>
        <v>581017.5</v>
      </c>
      <c r="H139" s="242"/>
      <c r="I139" s="242"/>
      <c r="J139" s="242"/>
      <c r="K139" s="242"/>
      <c r="L139" s="242"/>
      <c r="M139" s="242"/>
      <c r="N139" s="242"/>
      <c r="O139" s="242"/>
      <c r="P139" s="242"/>
      <c r="Q139" s="251"/>
      <c r="R139" s="262"/>
      <c r="S139" s="239">
        <f t="shared" si="1"/>
        <v>-124950000</v>
      </c>
      <c r="T139" s="240">
        <f t="shared" si="2"/>
        <v>-1</v>
      </c>
      <c r="U139" s="239">
        <f t="shared" si="3"/>
        <v>0</v>
      </c>
      <c r="V139" s="239">
        <f t="shared" si="4"/>
        <v>-581017.5</v>
      </c>
      <c r="W139" s="240">
        <f t="shared" si="5"/>
        <v>-1</v>
      </c>
      <c r="X139" s="240"/>
    </row>
    <row r="140" spans="1:24" x14ac:dyDescent="0.25">
      <c r="A140" s="148" t="s">
        <v>225</v>
      </c>
      <c r="B140" s="106" t="s">
        <v>606</v>
      </c>
      <c r="C140" s="28" t="s">
        <v>386</v>
      </c>
      <c r="D140" s="281">
        <v>300</v>
      </c>
      <c r="E140" s="282">
        <f>450*490</f>
        <v>220500</v>
      </c>
      <c r="F140" s="48">
        <f>D140*E140</f>
        <v>66150000</v>
      </c>
      <c r="G140" s="295">
        <f>F140*C4</f>
        <v>307597.5</v>
      </c>
      <c r="H140" s="242"/>
      <c r="I140" s="242"/>
      <c r="J140" s="242"/>
      <c r="K140" s="242"/>
      <c r="L140" s="242"/>
      <c r="M140" s="242"/>
      <c r="N140" s="242"/>
      <c r="O140" s="242"/>
      <c r="P140" s="242"/>
      <c r="Q140" s="251"/>
      <c r="R140" s="262"/>
      <c r="S140" s="225">
        <f t="shared" si="1"/>
        <v>-66150000</v>
      </c>
      <c r="T140" s="231">
        <f t="shared" si="2"/>
        <v>-1</v>
      </c>
      <c r="U140" s="225">
        <f t="shared" si="3"/>
        <v>0</v>
      </c>
      <c r="V140" s="225">
        <f t="shared" si="4"/>
        <v>-307597.5</v>
      </c>
      <c r="W140" s="231">
        <f t="shared" si="5"/>
        <v>-1</v>
      </c>
      <c r="X140" s="231"/>
    </row>
    <row r="141" spans="1:24" x14ac:dyDescent="0.25">
      <c r="A141" s="148" t="s">
        <v>226</v>
      </c>
      <c r="B141" s="106" t="s">
        <v>607</v>
      </c>
      <c r="C141" s="28" t="s">
        <v>386</v>
      </c>
      <c r="D141" s="281">
        <v>300</v>
      </c>
      <c r="E141" s="282">
        <f>400*490</f>
        <v>196000</v>
      </c>
      <c r="F141" s="48">
        <f>D141*E141</f>
        <v>58800000</v>
      </c>
      <c r="G141" s="295">
        <f>F141*C4</f>
        <v>273420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51"/>
      <c r="R141" s="262"/>
      <c r="S141" s="225">
        <f t="shared" si="1"/>
        <v>-58800000</v>
      </c>
      <c r="T141" s="231">
        <f t="shared" si="2"/>
        <v>-1</v>
      </c>
      <c r="U141" s="225">
        <f t="shared" si="3"/>
        <v>0</v>
      </c>
      <c r="V141" s="225">
        <f t="shared" si="4"/>
        <v>-273420</v>
      </c>
      <c r="W141" s="231">
        <f t="shared" si="5"/>
        <v>-1</v>
      </c>
      <c r="X141" s="231"/>
    </row>
    <row r="142" spans="1:24" hidden="1" x14ac:dyDescent="0.25">
      <c r="A142" s="148" t="s">
        <v>227</v>
      </c>
      <c r="B142" s="106" t="s">
        <v>281</v>
      </c>
      <c r="C142" s="28"/>
      <c r="D142" s="29"/>
      <c r="E142" s="30"/>
      <c r="F142" s="48">
        <f>D142*E142</f>
        <v>0</v>
      </c>
      <c r="G142" s="295">
        <f>F142*C4</f>
        <v>0</v>
      </c>
      <c r="H142" s="242"/>
      <c r="I142" s="242"/>
      <c r="J142" s="242"/>
      <c r="K142" s="242"/>
      <c r="L142" s="242"/>
      <c r="M142" s="242"/>
      <c r="N142" s="242"/>
      <c r="O142" s="242"/>
      <c r="P142" s="242"/>
      <c r="Q142" s="251"/>
      <c r="R142" s="262"/>
      <c r="S142" s="225">
        <f t="shared" si="1"/>
        <v>0</v>
      </c>
      <c r="T142" s="231">
        <f t="shared" si="2"/>
        <v>0</v>
      </c>
      <c r="U142" s="225">
        <f t="shared" si="3"/>
        <v>0</v>
      </c>
      <c r="V142" s="225">
        <f t="shared" si="4"/>
        <v>0</v>
      </c>
      <c r="W142" s="231">
        <f t="shared" si="5"/>
        <v>0</v>
      </c>
      <c r="X142" s="231"/>
    </row>
    <row r="143" spans="1:24" hidden="1" x14ac:dyDescent="0.25">
      <c r="A143" s="148" t="s">
        <v>228</v>
      </c>
      <c r="B143" s="106" t="s">
        <v>282</v>
      </c>
      <c r="C143" s="28"/>
      <c r="D143" s="29"/>
      <c r="E143" s="30"/>
      <c r="F143" s="48">
        <f>D143*E143</f>
        <v>0</v>
      </c>
      <c r="G143" s="295">
        <f>F143*C4</f>
        <v>0</v>
      </c>
      <c r="H143" s="242"/>
      <c r="I143" s="242"/>
      <c r="J143" s="242"/>
      <c r="K143" s="242"/>
      <c r="L143" s="242"/>
      <c r="M143" s="242"/>
      <c r="N143" s="242"/>
      <c r="O143" s="242"/>
      <c r="P143" s="242"/>
      <c r="Q143" s="251"/>
      <c r="R143" s="262"/>
      <c r="S143" s="225">
        <f t="shared" si="1"/>
        <v>0</v>
      </c>
      <c r="T143" s="231">
        <f t="shared" si="2"/>
        <v>0</v>
      </c>
      <c r="U143" s="225">
        <f t="shared" si="3"/>
        <v>0</v>
      </c>
      <c r="V143" s="225">
        <f t="shared" si="4"/>
        <v>0</v>
      </c>
      <c r="W143" s="231">
        <f t="shared" si="5"/>
        <v>0</v>
      </c>
      <c r="X143" s="231"/>
    </row>
    <row r="144" spans="1:24" hidden="1" x14ac:dyDescent="0.25">
      <c r="A144" s="148" t="s">
        <v>229</v>
      </c>
      <c r="B144" s="106" t="s">
        <v>283</v>
      </c>
      <c r="C144" s="28"/>
      <c r="D144" s="29"/>
      <c r="E144" s="30"/>
      <c r="F144" s="48">
        <f>D144*E144</f>
        <v>0</v>
      </c>
      <c r="G144" s="295">
        <f>F144*C4</f>
        <v>0</v>
      </c>
      <c r="H144" s="242"/>
      <c r="I144" s="242"/>
      <c r="J144" s="242"/>
      <c r="K144" s="242"/>
      <c r="L144" s="242"/>
      <c r="M144" s="242"/>
      <c r="N144" s="242"/>
      <c r="O144" s="242"/>
      <c r="P144" s="242"/>
      <c r="Q144" s="251"/>
      <c r="R144" s="262"/>
      <c r="S144" s="225">
        <f t="shared" si="1"/>
        <v>0</v>
      </c>
      <c r="T144" s="231">
        <f t="shared" si="2"/>
        <v>0</v>
      </c>
      <c r="U144" s="225">
        <f t="shared" si="3"/>
        <v>0</v>
      </c>
      <c r="V144" s="225">
        <f t="shared" si="4"/>
        <v>0</v>
      </c>
      <c r="W144" s="231">
        <f t="shared" si="5"/>
        <v>0</v>
      </c>
      <c r="X144" s="231"/>
    </row>
    <row r="145" spans="1:24" hidden="1" x14ac:dyDescent="0.25">
      <c r="A145" s="220" t="s">
        <v>101</v>
      </c>
      <c r="B145" s="221" t="s">
        <v>70</v>
      </c>
      <c r="C145" s="210"/>
      <c r="D145" s="211"/>
      <c r="E145" s="212"/>
      <c r="F145" s="208">
        <f>SUM(F146:F150)</f>
        <v>0</v>
      </c>
      <c r="G145" s="315">
        <f>SUM(G146:G150)</f>
        <v>0</v>
      </c>
      <c r="H145" s="242"/>
      <c r="I145" s="242"/>
      <c r="J145" s="242"/>
      <c r="K145" s="242"/>
      <c r="L145" s="242"/>
      <c r="M145" s="242"/>
      <c r="N145" s="242"/>
      <c r="O145" s="242"/>
      <c r="P145" s="242"/>
      <c r="Q145" s="251"/>
      <c r="R145" s="262"/>
      <c r="S145" s="239">
        <f t="shared" si="1"/>
        <v>0</v>
      </c>
      <c r="T145" s="240">
        <f t="shared" si="2"/>
        <v>0</v>
      </c>
      <c r="U145" s="239">
        <f t="shared" si="3"/>
        <v>0</v>
      </c>
      <c r="V145" s="239">
        <f t="shared" si="4"/>
        <v>0</v>
      </c>
      <c r="W145" s="240">
        <f t="shared" si="5"/>
        <v>0</v>
      </c>
      <c r="X145" s="240"/>
    </row>
    <row r="146" spans="1:24" hidden="1" x14ac:dyDescent="0.25">
      <c r="A146" s="148" t="s">
        <v>230</v>
      </c>
      <c r="B146" s="106" t="s">
        <v>284</v>
      </c>
      <c r="C146" s="28"/>
      <c r="D146" s="29"/>
      <c r="E146" s="30"/>
      <c r="F146" s="48">
        <f>D146*E146</f>
        <v>0</v>
      </c>
      <c r="G146" s="295">
        <f>F146*C4</f>
        <v>0</v>
      </c>
      <c r="H146" s="242"/>
      <c r="I146" s="242"/>
      <c r="J146" s="242"/>
      <c r="K146" s="242"/>
      <c r="L146" s="242"/>
      <c r="M146" s="242"/>
      <c r="N146" s="242"/>
      <c r="O146" s="242"/>
      <c r="P146" s="242"/>
      <c r="Q146" s="251"/>
      <c r="R146" s="262"/>
      <c r="S146" s="225">
        <f t="shared" si="1"/>
        <v>0</v>
      </c>
      <c r="T146" s="231">
        <f t="shared" si="2"/>
        <v>0</v>
      </c>
      <c r="U146" s="225">
        <f t="shared" si="3"/>
        <v>0</v>
      </c>
      <c r="V146" s="225">
        <f t="shared" si="4"/>
        <v>0</v>
      </c>
      <c r="W146" s="231">
        <f t="shared" si="5"/>
        <v>0</v>
      </c>
      <c r="X146" s="231"/>
    </row>
    <row r="147" spans="1:24" hidden="1" x14ac:dyDescent="0.25">
      <c r="A147" s="148" t="s">
        <v>231</v>
      </c>
      <c r="B147" s="106" t="s">
        <v>285</v>
      </c>
      <c r="C147" s="28"/>
      <c r="D147" s="29"/>
      <c r="E147" s="30"/>
      <c r="F147" s="48">
        <f>D147*E147</f>
        <v>0</v>
      </c>
      <c r="G147" s="295">
        <f>F147*C4</f>
        <v>0</v>
      </c>
      <c r="H147" s="242"/>
      <c r="I147" s="242"/>
      <c r="J147" s="242"/>
      <c r="K147" s="242"/>
      <c r="L147" s="242"/>
      <c r="M147" s="242"/>
      <c r="N147" s="242"/>
      <c r="O147" s="242"/>
      <c r="P147" s="242"/>
      <c r="Q147" s="251"/>
      <c r="R147" s="262"/>
      <c r="S147" s="225">
        <f t="shared" ref="S147:S210" si="7">R147-F147</f>
        <v>0</v>
      </c>
      <c r="T147" s="231">
        <f t="shared" ref="T147:T210" si="8">IF(F147=0,0,S147/F147)</f>
        <v>0</v>
      </c>
      <c r="U147" s="225">
        <f t="shared" ref="U147:U210" si="9">R147*$C$4</f>
        <v>0</v>
      </c>
      <c r="V147" s="225">
        <f t="shared" ref="V147:V210" si="10">U147-G147</f>
        <v>0</v>
      </c>
      <c r="W147" s="231">
        <f t="shared" ref="W147:W210" si="11">IF(G147=0,0,V147/G147)</f>
        <v>0</v>
      </c>
      <c r="X147" s="231"/>
    </row>
    <row r="148" spans="1:24" hidden="1" x14ac:dyDescent="0.25">
      <c r="A148" s="148" t="s">
        <v>232</v>
      </c>
      <c r="B148" s="106" t="s">
        <v>286</v>
      </c>
      <c r="C148" s="28"/>
      <c r="D148" s="29"/>
      <c r="E148" s="30"/>
      <c r="F148" s="48">
        <f>D148*E148</f>
        <v>0</v>
      </c>
      <c r="G148" s="295">
        <f>F148*C4</f>
        <v>0</v>
      </c>
      <c r="H148" s="242"/>
      <c r="I148" s="242"/>
      <c r="J148" s="242"/>
      <c r="K148" s="242"/>
      <c r="L148" s="242"/>
      <c r="M148" s="242"/>
      <c r="N148" s="242"/>
      <c r="O148" s="242"/>
      <c r="P148" s="242"/>
      <c r="Q148" s="251"/>
      <c r="R148" s="262"/>
      <c r="S148" s="225">
        <f t="shared" si="7"/>
        <v>0</v>
      </c>
      <c r="T148" s="231">
        <f t="shared" si="8"/>
        <v>0</v>
      </c>
      <c r="U148" s="225">
        <f t="shared" si="9"/>
        <v>0</v>
      </c>
      <c r="V148" s="225">
        <f t="shared" si="10"/>
        <v>0</v>
      </c>
      <c r="W148" s="231">
        <f t="shared" si="11"/>
        <v>0</v>
      </c>
      <c r="X148" s="231"/>
    </row>
    <row r="149" spans="1:24" hidden="1" x14ac:dyDescent="0.25">
      <c r="A149" s="148" t="s">
        <v>233</v>
      </c>
      <c r="B149" s="106" t="s">
        <v>287</v>
      </c>
      <c r="C149" s="28"/>
      <c r="D149" s="29"/>
      <c r="E149" s="30"/>
      <c r="F149" s="48">
        <f>D149*E149</f>
        <v>0</v>
      </c>
      <c r="G149" s="295">
        <f>F149*C4</f>
        <v>0</v>
      </c>
      <c r="H149" s="242"/>
      <c r="I149" s="242"/>
      <c r="J149" s="242"/>
      <c r="K149" s="242"/>
      <c r="L149" s="242"/>
      <c r="M149" s="242"/>
      <c r="N149" s="242"/>
      <c r="O149" s="242"/>
      <c r="P149" s="242"/>
      <c r="Q149" s="251"/>
      <c r="R149" s="262"/>
      <c r="S149" s="225">
        <f t="shared" si="7"/>
        <v>0</v>
      </c>
      <c r="T149" s="231">
        <f t="shared" si="8"/>
        <v>0</v>
      </c>
      <c r="U149" s="225">
        <f t="shared" si="9"/>
        <v>0</v>
      </c>
      <c r="V149" s="225">
        <f t="shared" si="10"/>
        <v>0</v>
      </c>
      <c r="W149" s="231">
        <f t="shared" si="11"/>
        <v>0</v>
      </c>
      <c r="X149" s="231"/>
    </row>
    <row r="150" spans="1:24" hidden="1" x14ac:dyDescent="0.25">
      <c r="A150" s="148" t="s">
        <v>234</v>
      </c>
      <c r="B150" s="106" t="s">
        <v>288</v>
      </c>
      <c r="C150" s="28"/>
      <c r="D150" s="29"/>
      <c r="E150" s="30"/>
      <c r="F150" s="48">
        <f>D150*E150</f>
        <v>0</v>
      </c>
      <c r="G150" s="295">
        <f>F150*C4</f>
        <v>0</v>
      </c>
      <c r="H150" s="242"/>
      <c r="I150" s="242"/>
      <c r="J150" s="242"/>
      <c r="K150" s="242"/>
      <c r="L150" s="242"/>
      <c r="M150" s="242"/>
      <c r="N150" s="242"/>
      <c r="O150" s="242"/>
      <c r="P150" s="242"/>
      <c r="Q150" s="251"/>
      <c r="R150" s="262"/>
      <c r="S150" s="225">
        <f t="shared" si="7"/>
        <v>0</v>
      </c>
      <c r="T150" s="231">
        <f t="shared" si="8"/>
        <v>0</v>
      </c>
      <c r="U150" s="225">
        <f t="shared" si="9"/>
        <v>0</v>
      </c>
      <c r="V150" s="225">
        <f t="shared" si="10"/>
        <v>0</v>
      </c>
      <c r="W150" s="231">
        <f t="shared" si="11"/>
        <v>0</v>
      </c>
      <c r="X150" s="231"/>
    </row>
    <row r="151" spans="1:24" hidden="1" x14ac:dyDescent="0.25">
      <c r="A151" s="220" t="s">
        <v>102</v>
      </c>
      <c r="B151" s="221" t="s">
        <v>309</v>
      </c>
      <c r="C151" s="210"/>
      <c r="D151" s="211"/>
      <c r="E151" s="212"/>
      <c r="F151" s="208">
        <f>SUM(F152:F156)</f>
        <v>0</v>
      </c>
      <c r="G151" s="315">
        <f>SUM(G152:G156)</f>
        <v>0</v>
      </c>
      <c r="H151" s="242"/>
      <c r="I151" s="242"/>
      <c r="J151" s="242"/>
      <c r="K151" s="242"/>
      <c r="L151" s="242"/>
      <c r="M151" s="242"/>
      <c r="N151" s="242"/>
      <c r="O151" s="242"/>
      <c r="P151" s="242"/>
      <c r="Q151" s="251"/>
      <c r="R151" s="262"/>
      <c r="S151" s="239">
        <f t="shared" si="7"/>
        <v>0</v>
      </c>
      <c r="T151" s="240">
        <f t="shared" si="8"/>
        <v>0</v>
      </c>
      <c r="U151" s="239">
        <f t="shared" si="9"/>
        <v>0</v>
      </c>
      <c r="V151" s="239">
        <f t="shared" si="10"/>
        <v>0</v>
      </c>
      <c r="W151" s="240">
        <f t="shared" si="11"/>
        <v>0</v>
      </c>
      <c r="X151" s="240"/>
    </row>
    <row r="152" spans="1:24" hidden="1" x14ac:dyDescent="0.25">
      <c r="A152" s="153" t="s">
        <v>235</v>
      </c>
      <c r="B152" s="106" t="s">
        <v>298</v>
      </c>
      <c r="C152" s="28"/>
      <c r="D152" s="29"/>
      <c r="E152" s="30"/>
      <c r="F152" s="48">
        <f>D152*E152</f>
        <v>0</v>
      </c>
      <c r="G152" s="295">
        <f>F152*C4</f>
        <v>0</v>
      </c>
      <c r="H152" s="242"/>
      <c r="I152" s="242"/>
      <c r="J152" s="242"/>
      <c r="K152" s="242"/>
      <c r="L152" s="242"/>
      <c r="M152" s="242"/>
      <c r="N152" s="242"/>
      <c r="O152" s="242"/>
      <c r="P152" s="242"/>
      <c r="Q152" s="251"/>
      <c r="R152" s="262"/>
      <c r="S152" s="225">
        <f t="shared" si="7"/>
        <v>0</v>
      </c>
      <c r="T152" s="231">
        <f t="shared" si="8"/>
        <v>0</v>
      </c>
      <c r="U152" s="225">
        <f t="shared" si="9"/>
        <v>0</v>
      </c>
      <c r="V152" s="225">
        <f t="shared" si="10"/>
        <v>0</v>
      </c>
      <c r="W152" s="231">
        <f t="shared" si="11"/>
        <v>0</v>
      </c>
      <c r="X152" s="231"/>
    </row>
    <row r="153" spans="1:24" hidden="1" x14ac:dyDescent="0.25">
      <c r="A153" s="153" t="s">
        <v>236</v>
      </c>
      <c r="B153" s="106" t="s">
        <v>299</v>
      </c>
      <c r="C153" s="28"/>
      <c r="D153" s="29"/>
      <c r="E153" s="30"/>
      <c r="F153" s="48">
        <f>D153*E153</f>
        <v>0</v>
      </c>
      <c r="G153" s="295">
        <f>F153*C4</f>
        <v>0</v>
      </c>
      <c r="H153" s="242"/>
      <c r="I153" s="242"/>
      <c r="J153" s="242"/>
      <c r="K153" s="242"/>
      <c r="L153" s="242"/>
      <c r="M153" s="242"/>
      <c r="N153" s="242"/>
      <c r="O153" s="242"/>
      <c r="P153" s="242"/>
      <c r="Q153" s="251"/>
      <c r="R153" s="262"/>
      <c r="S153" s="225">
        <f t="shared" si="7"/>
        <v>0</v>
      </c>
      <c r="T153" s="231">
        <f t="shared" si="8"/>
        <v>0</v>
      </c>
      <c r="U153" s="225">
        <f t="shared" si="9"/>
        <v>0</v>
      </c>
      <c r="V153" s="225">
        <f t="shared" si="10"/>
        <v>0</v>
      </c>
      <c r="W153" s="231">
        <f t="shared" si="11"/>
        <v>0</v>
      </c>
      <c r="X153" s="231"/>
    </row>
    <row r="154" spans="1:24" hidden="1" x14ac:dyDescent="0.25">
      <c r="A154" s="153" t="s">
        <v>237</v>
      </c>
      <c r="B154" s="106" t="s">
        <v>300</v>
      </c>
      <c r="C154" s="28"/>
      <c r="D154" s="29"/>
      <c r="E154" s="30"/>
      <c r="F154" s="48">
        <f>D154*E154</f>
        <v>0</v>
      </c>
      <c r="G154" s="295">
        <f>F154*C4</f>
        <v>0</v>
      </c>
      <c r="H154" s="242"/>
      <c r="I154" s="242"/>
      <c r="J154" s="242"/>
      <c r="K154" s="242"/>
      <c r="L154" s="242"/>
      <c r="M154" s="242"/>
      <c r="N154" s="242"/>
      <c r="O154" s="242"/>
      <c r="P154" s="242"/>
      <c r="Q154" s="251"/>
      <c r="R154" s="262"/>
      <c r="S154" s="225">
        <f t="shared" si="7"/>
        <v>0</v>
      </c>
      <c r="T154" s="231">
        <f t="shared" si="8"/>
        <v>0</v>
      </c>
      <c r="U154" s="225">
        <f t="shared" si="9"/>
        <v>0</v>
      </c>
      <c r="V154" s="225">
        <f t="shared" si="10"/>
        <v>0</v>
      </c>
      <c r="W154" s="231">
        <f t="shared" si="11"/>
        <v>0</v>
      </c>
      <c r="X154" s="231"/>
    </row>
    <row r="155" spans="1:24" hidden="1" x14ac:dyDescent="0.25">
      <c r="A155" s="153" t="s">
        <v>238</v>
      </c>
      <c r="B155" s="106" t="s">
        <v>301</v>
      </c>
      <c r="C155" s="28"/>
      <c r="D155" s="29"/>
      <c r="E155" s="30"/>
      <c r="F155" s="48">
        <f>D155*E155</f>
        <v>0</v>
      </c>
      <c r="G155" s="295">
        <f>F155*C4</f>
        <v>0</v>
      </c>
      <c r="H155" s="242"/>
      <c r="I155" s="242"/>
      <c r="J155" s="242"/>
      <c r="K155" s="242"/>
      <c r="L155" s="242"/>
      <c r="M155" s="242"/>
      <c r="N155" s="242"/>
      <c r="O155" s="242"/>
      <c r="P155" s="242"/>
      <c r="Q155" s="251"/>
      <c r="R155" s="262"/>
      <c r="S155" s="225">
        <f t="shared" si="7"/>
        <v>0</v>
      </c>
      <c r="T155" s="231">
        <f t="shared" si="8"/>
        <v>0</v>
      </c>
      <c r="U155" s="225">
        <f t="shared" si="9"/>
        <v>0</v>
      </c>
      <c r="V155" s="225">
        <f t="shared" si="10"/>
        <v>0</v>
      </c>
      <c r="W155" s="231">
        <f t="shared" si="11"/>
        <v>0</v>
      </c>
      <c r="X155" s="231"/>
    </row>
    <row r="156" spans="1:24" hidden="1" x14ac:dyDescent="0.25">
      <c r="A156" s="153" t="s">
        <v>239</v>
      </c>
      <c r="B156" s="106" t="s">
        <v>302</v>
      </c>
      <c r="C156" s="28"/>
      <c r="D156" s="29"/>
      <c r="E156" s="30"/>
      <c r="F156" s="48">
        <f>D156*E156</f>
        <v>0</v>
      </c>
      <c r="G156" s="295">
        <f>F156*C4</f>
        <v>0</v>
      </c>
      <c r="H156" s="242"/>
      <c r="I156" s="242"/>
      <c r="J156" s="242"/>
      <c r="K156" s="242"/>
      <c r="L156" s="242"/>
      <c r="M156" s="242"/>
      <c r="N156" s="242"/>
      <c r="O156" s="242"/>
      <c r="P156" s="242"/>
      <c r="Q156" s="251"/>
      <c r="R156" s="262"/>
      <c r="S156" s="225">
        <f t="shared" si="7"/>
        <v>0</v>
      </c>
      <c r="T156" s="231">
        <f t="shared" si="8"/>
        <v>0</v>
      </c>
      <c r="U156" s="225">
        <f t="shared" si="9"/>
        <v>0</v>
      </c>
      <c r="V156" s="225">
        <f t="shared" si="10"/>
        <v>0</v>
      </c>
      <c r="W156" s="231">
        <f t="shared" si="11"/>
        <v>0</v>
      </c>
      <c r="X156" s="231"/>
    </row>
    <row r="157" spans="1:24" hidden="1" x14ac:dyDescent="0.25">
      <c r="A157" s="220" t="s">
        <v>103</v>
      </c>
      <c r="B157" s="221" t="s">
        <v>296</v>
      </c>
      <c r="C157" s="210"/>
      <c r="D157" s="211"/>
      <c r="E157" s="212"/>
      <c r="F157" s="208">
        <f>SUM(F158:F162)</f>
        <v>0</v>
      </c>
      <c r="G157" s="315">
        <f>SUM(G158:G162)</f>
        <v>0</v>
      </c>
      <c r="H157" s="242"/>
      <c r="I157" s="242"/>
      <c r="J157" s="242"/>
      <c r="K157" s="242"/>
      <c r="L157" s="242"/>
      <c r="M157" s="242"/>
      <c r="N157" s="242"/>
      <c r="O157" s="242"/>
      <c r="P157" s="242"/>
      <c r="Q157" s="251"/>
      <c r="R157" s="262"/>
      <c r="S157" s="239">
        <f t="shared" si="7"/>
        <v>0</v>
      </c>
      <c r="T157" s="240">
        <f t="shared" si="8"/>
        <v>0</v>
      </c>
      <c r="U157" s="239">
        <f t="shared" si="9"/>
        <v>0</v>
      </c>
      <c r="V157" s="239">
        <f t="shared" si="10"/>
        <v>0</v>
      </c>
      <c r="W157" s="240">
        <f t="shared" si="11"/>
        <v>0</v>
      </c>
      <c r="X157" s="240"/>
    </row>
    <row r="158" spans="1:24" hidden="1" x14ac:dyDescent="0.25">
      <c r="A158" s="148" t="s">
        <v>240</v>
      </c>
      <c r="B158" s="106" t="s">
        <v>297</v>
      </c>
      <c r="C158" s="28"/>
      <c r="D158" s="29"/>
      <c r="E158" s="30"/>
      <c r="F158" s="48">
        <f>D158*E158</f>
        <v>0</v>
      </c>
      <c r="G158" s="295">
        <f>F158*C4</f>
        <v>0</v>
      </c>
      <c r="H158" s="242"/>
      <c r="I158" s="242"/>
      <c r="J158" s="242"/>
      <c r="K158" s="242"/>
      <c r="L158" s="242"/>
      <c r="M158" s="242"/>
      <c r="N158" s="242"/>
      <c r="O158" s="242"/>
      <c r="P158" s="242"/>
      <c r="Q158" s="251"/>
      <c r="R158" s="262"/>
      <c r="S158" s="225">
        <f t="shared" si="7"/>
        <v>0</v>
      </c>
      <c r="T158" s="231">
        <f t="shared" si="8"/>
        <v>0</v>
      </c>
      <c r="U158" s="225">
        <f t="shared" si="9"/>
        <v>0</v>
      </c>
      <c r="V158" s="225">
        <f t="shared" si="10"/>
        <v>0</v>
      </c>
      <c r="W158" s="231">
        <f t="shared" si="11"/>
        <v>0</v>
      </c>
      <c r="X158" s="231"/>
    </row>
    <row r="159" spans="1:24" hidden="1" x14ac:dyDescent="0.25">
      <c r="A159" s="148" t="s">
        <v>241</v>
      </c>
      <c r="B159" s="106" t="s">
        <v>303</v>
      </c>
      <c r="C159" s="28"/>
      <c r="D159" s="29"/>
      <c r="E159" s="30"/>
      <c r="F159" s="48">
        <f>D159*E159</f>
        <v>0</v>
      </c>
      <c r="G159" s="295">
        <f>F159*C4</f>
        <v>0</v>
      </c>
      <c r="H159" s="242"/>
      <c r="I159" s="242"/>
      <c r="J159" s="242"/>
      <c r="K159" s="242"/>
      <c r="L159" s="242"/>
      <c r="M159" s="242"/>
      <c r="N159" s="242"/>
      <c r="O159" s="242"/>
      <c r="P159" s="242"/>
      <c r="Q159" s="251"/>
      <c r="R159" s="262"/>
      <c r="S159" s="225">
        <f t="shared" si="7"/>
        <v>0</v>
      </c>
      <c r="T159" s="231">
        <f t="shared" si="8"/>
        <v>0</v>
      </c>
      <c r="U159" s="225">
        <f t="shared" si="9"/>
        <v>0</v>
      </c>
      <c r="V159" s="225">
        <f t="shared" si="10"/>
        <v>0</v>
      </c>
      <c r="W159" s="231">
        <f t="shared" si="11"/>
        <v>0</v>
      </c>
      <c r="X159" s="231"/>
    </row>
    <row r="160" spans="1:24" hidden="1" x14ac:dyDescent="0.25">
      <c r="A160" s="148" t="s">
        <v>242</v>
      </c>
      <c r="B160" s="106" t="s">
        <v>304</v>
      </c>
      <c r="C160" s="28"/>
      <c r="D160" s="29"/>
      <c r="E160" s="30"/>
      <c r="F160" s="48">
        <f>D160*E160</f>
        <v>0</v>
      </c>
      <c r="G160" s="295">
        <f>F160*C4</f>
        <v>0</v>
      </c>
      <c r="H160" s="242"/>
      <c r="I160" s="242"/>
      <c r="J160" s="242"/>
      <c r="K160" s="242"/>
      <c r="L160" s="242"/>
      <c r="M160" s="242"/>
      <c r="N160" s="242"/>
      <c r="O160" s="242"/>
      <c r="P160" s="242"/>
      <c r="Q160" s="251"/>
      <c r="R160" s="262"/>
      <c r="S160" s="225">
        <f t="shared" si="7"/>
        <v>0</v>
      </c>
      <c r="T160" s="231">
        <f t="shared" si="8"/>
        <v>0</v>
      </c>
      <c r="U160" s="225">
        <f t="shared" si="9"/>
        <v>0</v>
      </c>
      <c r="V160" s="225">
        <f t="shared" si="10"/>
        <v>0</v>
      </c>
      <c r="W160" s="231">
        <f t="shared" si="11"/>
        <v>0</v>
      </c>
      <c r="X160" s="231"/>
    </row>
    <row r="161" spans="1:24" hidden="1" x14ac:dyDescent="0.25">
      <c r="A161" s="148" t="s">
        <v>243</v>
      </c>
      <c r="B161" s="106" t="s">
        <v>305</v>
      </c>
      <c r="C161" s="28"/>
      <c r="D161" s="29"/>
      <c r="E161" s="30"/>
      <c r="F161" s="48">
        <f>D161*E161</f>
        <v>0</v>
      </c>
      <c r="G161" s="295">
        <f>F161*C4</f>
        <v>0</v>
      </c>
      <c r="H161" s="242"/>
      <c r="I161" s="242"/>
      <c r="J161" s="242"/>
      <c r="K161" s="242"/>
      <c r="L161" s="242"/>
      <c r="M161" s="242"/>
      <c r="N161" s="242"/>
      <c r="O161" s="242"/>
      <c r="P161" s="242"/>
      <c r="Q161" s="251"/>
      <c r="R161" s="262"/>
      <c r="S161" s="225">
        <f t="shared" si="7"/>
        <v>0</v>
      </c>
      <c r="T161" s="231">
        <f t="shared" si="8"/>
        <v>0</v>
      </c>
      <c r="U161" s="225">
        <f t="shared" si="9"/>
        <v>0</v>
      </c>
      <c r="V161" s="225">
        <f t="shared" si="10"/>
        <v>0</v>
      </c>
      <c r="W161" s="231">
        <f t="shared" si="11"/>
        <v>0</v>
      </c>
      <c r="X161" s="231"/>
    </row>
    <row r="162" spans="1:24" hidden="1" x14ac:dyDescent="0.25">
      <c r="A162" s="148" t="s">
        <v>244</v>
      </c>
      <c r="B162" s="106" t="s">
        <v>306</v>
      </c>
      <c r="C162" s="28"/>
      <c r="D162" s="29"/>
      <c r="E162" s="30"/>
      <c r="F162" s="48">
        <f>D162*E162</f>
        <v>0</v>
      </c>
      <c r="G162" s="295">
        <f>F162*C4</f>
        <v>0</v>
      </c>
      <c r="H162" s="242"/>
      <c r="I162" s="242"/>
      <c r="J162" s="242"/>
      <c r="K162" s="242"/>
      <c r="L162" s="242"/>
      <c r="M162" s="242"/>
      <c r="N162" s="242"/>
      <c r="O162" s="242"/>
      <c r="P162" s="242"/>
      <c r="Q162" s="251"/>
      <c r="R162" s="262"/>
      <c r="S162" s="225">
        <f t="shared" si="7"/>
        <v>0</v>
      </c>
      <c r="T162" s="231">
        <f t="shared" si="8"/>
        <v>0</v>
      </c>
      <c r="U162" s="225">
        <f t="shared" si="9"/>
        <v>0</v>
      </c>
      <c r="V162" s="225">
        <f t="shared" si="10"/>
        <v>0</v>
      </c>
      <c r="W162" s="231">
        <f t="shared" si="11"/>
        <v>0</v>
      </c>
      <c r="X162" s="231"/>
    </row>
    <row r="163" spans="1:24" x14ac:dyDescent="0.25">
      <c r="B163" s="149"/>
      <c r="C163" s="31"/>
      <c r="D163" s="32"/>
      <c r="E163" s="33"/>
      <c r="F163" s="48"/>
      <c r="H163" s="242"/>
      <c r="I163" s="242"/>
      <c r="J163" s="242"/>
      <c r="K163" s="242"/>
      <c r="L163" s="242"/>
      <c r="M163" s="242"/>
      <c r="N163" s="242"/>
      <c r="O163" s="242"/>
      <c r="P163" s="242"/>
      <c r="Q163" s="251"/>
      <c r="R163" s="257"/>
      <c r="S163" s="225"/>
      <c r="T163" s="231"/>
      <c r="U163" s="225"/>
      <c r="V163" s="225"/>
      <c r="W163" s="231"/>
      <c r="X163" s="231"/>
    </row>
    <row r="164" spans="1:24" ht="13.8" thickBot="1" x14ac:dyDescent="0.3">
      <c r="A164" s="99"/>
      <c r="B164" s="146" t="s">
        <v>124</v>
      </c>
      <c r="C164" s="118"/>
      <c r="D164" s="122"/>
      <c r="E164" s="123"/>
      <c r="F164" s="50">
        <f>SUM(F103+F109+F115+F121+F127+F133+F139+F145+F151+F157)</f>
        <v>485798250</v>
      </c>
      <c r="G164" s="50">
        <f>SUM(G103+G109+G115+G121+G127+G133+G139+G145+G151+G157)</f>
        <v>2258961.8624999998</v>
      </c>
      <c r="H164" s="244"/>
      <c r="I164" s="244"/>
      <c r="J164" s="244"/>
      <c r="K164" s="244"/>
      <c r="L164" s="244"/>
      <c r="M164" s="244"/>
      <c r="N164" s="244"/>
      <c r="O164" s="244"/>
      <c r="P164" s="244"/>
      <c r="Q164" s="253"/>
      <c r="R164" s="263"/>
      <c r="S164" s="237">
        <f t="shared" si="7"/>
        <v>-485798250</v>
      </c>
      <c r="T164" s="238">
        <f t="shared" si="8"/>
        <v>-1</v>
      </c>
      <c r="U164" s="237">
        <f t="shared" si="9"/>
        <v>0</v>
      </c>
      <c r="V164" s="237">
        <f t="shared" si="10"/>
        <v>-2258961.8624999998</v>
      </c>
      <c r="W164" s="238">
        <f t="shared" si="11"/>
        <v>-1</v>
      </c>
      <c r="X164" s="238"/>
    </row>
    <row r="165" spans="1:24" ht="13.8" thickTop="1" x14ac:dyDescent="0.25">
      <c r="C165" s="80"/>
      <c r="D165" s="71"/>
      <c r="E165" s="72"/>
      <c r="G165" s="48"/>
      <c r="H165" s="245"/>
      <c r="I165" s="245"/>
      <c r="J165" s="245"/>
      <c r="K165" s="245"/>
      <c r="L165" s="245"/>
      <c r="M165" s="245"/>
      <c r="N165" s="245"/>
      <c r="O165" s="245"/>
      <c r="P165" s="245"/>
      <c r="Q165" s="254"/>
      <c r="R165" s="261"/>
      <c r="S165" s="225"/>
      <c r="T165" s="231"/>
      <c r="U165" s="225"/>
      <c r="V165" s="225"/>
      <c r="W165" s="231"/>
      <c r="X165" s="231"/>
    </row>
    <row r="166" spans="1:24" x14ac:dyDescent="0.25">
      <c r="A166" s="125">
        <v>3</v>
      </c>
      <c r="B166" s="126" t="s">
        <v>127</v>
      </c>
      <c r="C166" s="130"/>
      <c r="D166" s="129"/>
      <c r="E166" s="131"/>
      <c r="F166" s="131"/>
      <c r="G166" s="147"/>
      <c r="H166" s="241"/>
      <c r="I166" s="241"/>
      <c r="J166" s="241"/>
      <c r="K166" s="241"/>
      <c r="L166" s="241"/>
      <c r="M166" s="241"/>
      <c r="N166" s="241"/>
      <c r="O166" s="241"/>
      <c r="P166" s="241"/>
      <c r="Q166" s="252"/>
      <c r="R166" s="260"/>
      <c r="S166" s="230"/>
      <c r="T166" s="232"/>
      <c r="U166" s="230"/>
      <c r="V166" s="230"/>
      <c r="W166" s="232"/>
      <c r="X166" s="232"/>
    </row>
    <row r="167" spans="1:24" hidden="1" x14ac:dyDescent="0.25">
      <c r="A167" s="157" t="s">
        <v>132</v>
      </c>
      <c r="B167" s="140" t="s">
        <v>110</v>
      </c>
      <c r="C167" s="21"/>
      <c r="D167" s="25"/>
      <c r="E167" s="18"/>
      <c r="F167" s="3">
        <f>D167*E167</f>
        <v>0</v>
      </c>
      <c r="G167" s="51">
        <f>F167*C4</f>
        <v>0</v>
      </c>
      <c r="H167" s="242"/>
      <c r="I167" s="242"/>
      <c r="J167" s="242"/>
      <c r="K167" s="242"/>
      <c r="L167" s="242"/>
      <c r="M167" s="242"/>
      <c r="N167" s="242"/>
      <c r="O167" s="242"/>
      <c r="P167" s="242"/>
      <c r="Q167" s="251"/>
      <c r="R167" s="262"/>
      <c r="S167" s="225">
        <f t="shared" si="7"/>
        <v>0</v>
      </c>
      <c r="T167" s="231">
        <f t="shared" si="8"/>
        <v>0</v>
      </c>
      <c r="U167" s="225">
        <f t="shared" si="9"/>
        <v>0</v>
      </c>
      <c r="V167" s="225">
        <f t="shared" si="10"/>
        <v>0</v>
      </c>
      <c r="W167" s="231">
        <f t="shared" si="11"/>
        <v>0</v>
      </c>
      <c r="X167" s="231"/>
    </row>
    <row r="168" spans="1:24" hidden="1" x14ac:dyDescent="0.25">
      <c r="A168" s="157" t="s">
        <v>133</v>
      </c>
      <c r="B168" s="140" t="s">
        <v>48</v>
      </c>
      <c r="C168" s="21"/>
      <c r="D168" s="25"/>
      <c r="E168" s="18"/>
      <c r="F168" s="3">
        <f t="shared" ref="F168:F174" si="12">D168*E168</f>
        <v>0</v>
      </c>
      <c r="G168" s="51">
        <f>F168*C4</f>
        <v>0</v>
      </c>
      <c r="H168" s="242"/>
      <c r="I168" s="242"/>
      <c r="J168" s="242"/>
      <c r="K168" s="242"/>
      <c r="L168" s="242"/>
      <c r="M168" s="242"/>
      <c r="N168" s="242"/>
      <c r="O168" s="242"/>
      <c r="P168" s="242"/>
      <c r="Q168" s="251"/>
      <c r="R168" s="262"/>
      <c r="S168" s="225">
        <f t="shared" si="7"/>
        <v>0</v>
      </c>
      <c r="T168" s="231">
        <f t="shared" si="8"/>
        <v>0</v>
      </c>
      <c r="U168" s="225">
        <f t="shared" si="9"/>
        <v>0</v>
      </c>
      <c r="V168" s="225">
        <f t="shared" si="10"/>
        <v>0</v>
      </c>
      <c r="W168" s="231">
        <f t="shared" si="11"/>
        <v>0</v>
      </c>
      <c r="X168" s="231"/>
    </row>
    <row r="169" spans="1:24" hidden="1" x14ac:dyDescent="0.25">
      <c r="A169" s="157" t="s">
        <v>134</v>
      </c>
      <c r="B169" s="140" t="s">
        <v>106</v>
      </c>
      <c r="C169" s="34"/>
      <c r="D169" s="35"/>
      <c r="E169" s="36"/>
      <c r="F169" s="3">
        <f t="shared" si="12"/>
        <v>0</v>
      </c>
      <c r="G169" s="51">
        <f>F169*C4</f>
        <v>0</v>
      </c>
      <c r="H169" s="242"/>
      <c r="I169" s="242"/>
      <c r="J169" s="242"/>
      <c r="K169" s="242"/>
      <c r="L169" s="242"/>
      <c r="M169" s="242"/>
      <c r="N169" s="242"/>
      <c r="O169" s="242"/>
      <c r="P169" s="242"/>
      <c r="Q169" s="251"/>
      <c r="R169" s="262"/>
      <c r="S169" s="225">
        <f t="shared" si="7"/>
        <v>0</v>
      </c>
      <c r="T169" s="231">
        <f t="shared" si="8"/>
        <v>0</v>
      </c>
      <c r="U169" s="225">
        <f t="shared" si="9"/>
        <v>0</v>
      </c>
      <c r="V169" s="225">
        <f t="shared" si="10"/>
        <v>0</v>
      </c>
      <c r="W169" s="231">
        <f t="shared" si="11"/>
        <v>0</v>
      </c>
      <c r="X169" s="231"/>
    </row>
    <row r="170" spans="1:24" hidden="1" x14ac:dyDescent="0.25">
      <c r="A170" s="157" t="s">
        <v>135</v>
      </c>
      <c r="B170" s="140" t="s">
        <v>140</v>
      </c>
      <c r="C170" s="34"/>
      <c r="D170" s="35"/>
      <c r="E170" s="36"/>
      <c r="F170" s="3">
        <f t="shared" si="12"/>
        <v>0</v>
      </c>
      <c r="G170" s="51">
        <f>F170*C4</f>
        <v>0</v>
      </c>
      <c r="H170" s="242"/>
      <c r="I170" s="242"/>
      <c r="J170" s="242"/>
      <c r="K170" s="242"/>
      <c r="L170" s="242"/>
      <c r="M170" s="242"/>
      <c r="N170" s="242"/>
      <c r="O170" s="242"/>
      <c r="P170" s="242"/>
      <c r="Q170" s="251"/>
      <c r="R170" s="262"/>
      <c r="S170" s="225">
        <f t="shared" si="7"/>
        <v>0</v>
      </c>
      <c r="T170" s="231">
        <f t="shared" si="8"/>
        <v>0</v>
      </c>
      <c r="U170" s="225">
        <f t="shared" si="9"/>
        <v>0</v>
      </c>
      <c r="V170" s="225">
        <f t="shared" si="10"/>
        <v>0</v>
      </c>
      <c r="W170" s="231">
        <f t="shared" si="11"/>
        <v>0</v>
      </c>
      <c r="X170" s="231"/>
    </row>
    <row r="171" spans="1:24" ht="15" hidden="1" customHeight="1" x14ac:dyDescent="0.25">
      <c r="A171" s="157" t="s">
        <v>136</v>
      </c>
      <c r="B171" s="140" t="s">
        <v>141</v>
      </c>
      <c r="C171" s="34"/>
      <c r="D171" s="35"/>
      <c r="E171" s="36"/>
      <c r="F171" s="3">
        <f t="shared" si="12"/>
        <v>0</v>
      </c>
      <c r="G171" s="51">
        <f>F171*C4</f>
        <v>0</v>
      </c>
      <c r="H171" s="242"/>
      <c r="I171" s="242"/>
      <c r="J171" s="242"/>
      <c r="K171" s="242"/>
      <c r="L171" s="242"/>
      <c r="M171" s="242"/>
      <c r="N171" s="242"/>
      <c r="O171" s="242"/>
      <c r="P171" s="242"/>
      <c r="Q171" s="251"/>
      <c r="R171" s="262"/>
      <c r="S171" s="225">
        <f t="shared" si="7"/>
        <v>0</v>
      </c>
      <c r="T171" s="231">
        <f t="shared" si="8"/>
        <v>0</v>
      </c>
      <c r="U171" s="225">
        <f t="shared" si="9"/>
        <v>0</v>
      </c>
      <c r="V171" s="225">
        <f t="shared" si="10"/>
        <v>0</v>
      </c>
      <c r="W171" s="231">
        <f t="shared" si="11"/>
        <v>0</v>
      </c>
      <c r="X171" s="231"/>
    </row>
    <row r="172" spans="1:24" ht="15" hidden="1" customHeight="1" x14ac:dyDescent="0.25">
      <c r="A172" s="157" t="s">
        <v>137</v>
      </c>
      <c r="B172" s="140" t="s">
        <v>246</v>
      </c>
      <c r="C172" s="34"/>
      <c r="D172" s="35"/>
      <c r="E172" s="36"/>
      <c r="F172" s="3">
        <f>D172*E172</f>
        <v>0</v>
      </c>
      <c r="G172" s="51">
        <f>F172*C4</f>
        <v>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51"/>
      <c r="R172" s="262"/>
      <c r="S172" s="225">
        <f t="shared" si="7"/>
        <v>0</v>
      </c>
      <c r="T172" s="231">
        <f t="shared" si="8"/>
        <v>0</v>
      </c>
      <c r="U172" s="225">
        <f t="shared" si="9"/>
        <v>0</v>
      </c>
      <c r="V172" s="225">
        <f t="shared" si="10"/>
        <v>0</v>
      </c>
      <c r="W172" s="231">
        <f t="shared" si="11"/>
        <v>0</v>
      </c>
      <c r="X172" s="231"/>
    </row>
    <row r="173" spans="1:24" x14ac:dyDescent="0.25">
      <c r="A173" s="157" t="s">
        <v>138</v>
      </c>
      <c r="B173" s="360" t="s">
        <v>845</v>
      </c>
      <c r="C173" s="280" t="s">
        <v>392</v>
      </c>
      <c r="D173" s="25">
        <v>12</v>
      </c>
      <c r="E173" s="25">
        <v>144200</v>
      </c>
      <c r="F173" s="3">
        <f t="shared" si="12"/>
        <v>1730400</v>
      </c>
      <c r="G173" s="51">
        <f>F173*C4</f>
        <v>8046.36</v>
      </c>
      <c r="H173" s="242"/>
      <c r="I173" s="242"/>
      <c r="J173" s="242"/>
      <c r="K173" s="242"/>
      <c r="L173" s="242"/>
      <c r="M173" s="242"/>
      <c r="N173" s="242"/>
      <c r="O173" s="242"/>
      <c r="P173" s="242"/>
      <c r="Q173" s="251"/>
      <c r="R173" s="262"/>
      <c r="S173" s="225">
        <f t="shared" si="7"/>
        <v>-1730400</v>
      </c>
      <c r="T173" s="231">
        <f t="shared" si="8"/>
        <v>-1</v>
      </c>
      <c r="U173" s="225">
        <f t="shared" si="9"/>
        <v>0</v>
      </c>
      <c r="V173" s="225">
        <f t="shared" si="10"/>
        <v>-8046.36</v>
      </c>
      <c r="W173" s="231">
        <f t="shared" si="11"/>
        <v>-1</v>
      </c>
      <c r="X173" s="231"/>
    </row>
    <row r="174" spans="1:24" x14ac:dyDescent="0.25">
      <c r="A174" s="157" t="s">
        <v>245</v>
      </c>
      <c r="B174" s="140" t="s">
        <v>165</v>
      </c>
      <c r="C174" s="280" t="s">
        <v>515</v>
      </c>
      <c r="D174" s="25">
        <v>1</v>
      </c>
      <c r="E174" s="25">
        <f>4000*490</f>
        <v>1960000</v>
      </c>
      <c r="F174" s="3">
        <f t="shared" si="12"/>
        <v>1960000</v>
      </c>
      <c r="G174" s="51">
        <f>F174*C4</f>
        <v>9114</v>
      </c>
      <c r="H174" s="242"/>
      <c r="I174" s="242"/>
      <c r="J174" s="242"/>
      <c r="K174" s="242"/>
      <c r="L174" s="242"/>
      <c r="M174" s="242"/>
      <c r="N174" s="242"/>
      <c r="O174" s="242"/>
      <c r="P174" s="242"/>
      <c r="Q174" s="251"/>
      <c r="R174" s="262"/>
      <c r="S174" s="225">
        <f t="shared" si="7"/>
        <v>-1960000</v>
      </c>
      <c r="T174" s="231">
        <f t="shared" si="8"/>
        <v>-1</v>
      </c>
      <c r="U174" s="225">
        <f t="shared" si="9"/>
        <v>0</v>
      </c>
      <c r="V174" s="225">
        <f t="shared" si="10"/>
        <v>-9114</v>
      </c>
      <c r="W174" s="231">
        <f t="shared" si="11"/>
        <v>-1</v>
      </c>
      <c r="X174" s="231"/>
    </row>
    <row r="175" spans="1:24" x14ac:dyDescent="0.25">
      <c r="B175" s="109"/>
      <c r="C175" s="9"/>
      <c r="D175" s="6"/>
      <c r="E175" s="7"/>
      <c r="G175" s="48"/>
      <c r="H175" s="245"/>
      <c r="I175" s="245"/>
      <c r="J175" s="245"/>
      <c r="K175" s="245"/>
      <c r="L175" s="245"/>
      <c r="M175" s="245"/>
      <c r="N175" s="245"/>
      <c r="O175" s="245"/>
      <c r="P175" s="245"/>
      <c r="Q175" s="254"/>
      <c r="R175" s="261"/>
      <c r="S175" s="225"/>
      <c r="T175" s="231"/>
      <c r="U175" s="225"/>
      <c r="V175" s="225"/>
      <c r="W175" s="231"/>
      <c r="X175" s="231"/>
    </row>
    <row r="176" spans="1:24" ht="13.8" thickBot="1" x14ac:dyDescent="0.3">
      <c r="A176" s="99"/>
      <c r="B176" s="146" t="s">
        <v>108</v>
      </c>
      <c r="C176" s="118"/>
      <c r="D176" s="122"/>
      <c r="E176" s="123"/>
      <c r="F176" s="50">
        <f>SUM(F167:F174)</f>
        <v>3690400</v>
      </c>
      <c r="G176" s="50">
        <f>SUM(G167:G174)</f>
        <v>17160.36</v>
      </c>
      <c r="H176" s="244"/>
      <c r="I176" s="244"/>
      <c r="J176" s="244"/>
      <c r="K176" s="244"/>
      <c r="L176" s="244"/>
      <c r="M176" s="244"/>
      <c r="N176" s="244"/>
      <c r="O176" s="244"/>
      <c r="P176" s="244"/>
      <c r="Q176" s="253"/>
      <c r="R176" s="263"/>
      <c r="S176" s="237">
        <f t="shared" si="7"/>
        <v>-3690400</v>
      </c>
      <c r="T176" s="238">
        <f t="shared" si="8"/>
        <v>-1</v>
      </c>
      <c r="U176" s="237">
        <f t="shared" si="9"/>
        <v>0</v>
      </c>
      <c r="V176" s="237">
        <f t="shared" si="10"/>
        <v>-17160.36</v>
      </c>
      <c r="W176" s="238">
        <f t="shared" si="11"/>
        <v>-1</v>
      </c>
      <c r="X176" s="238"/>
    </row>
    <row r="177" spans="1:24" ht="13.8" thickTop="1" x14ac:dyDescent="0.25">
      <c r="B177" s="77"/>
      <c r="C177" s="162"/>
      <c r="D177" s="161"/>
      <c r="E177" s="74"/>
      <c r="F177" s="48"/>
      <c r="G177" s="1"/>
      <c r="H177" s="242"/>
      <c r="I177" s="242"/>
      <c r="J177" s="242"/>
      <c r="K177" s="242"/>
      <c r="L177" s="242"/>
      <c r="M177" s="242"/>
      <c r="N177" s="242"/>
      <c r="O177" s="242"/>
      <c r="P177" s="242"/>
      <c r="Q177" s="251"/>
      <c r="R177" s="257"/>
      <c r="S177" s="225"/>
      <c r="T177" s="231"/>
      <c r="U177" s="225"/>
      <c r="V177" s="225"/>
      <c r="W177" s="231"/>
      <c r="X177" s="231"/>
    </row>
    <row r="178" spans="1:24" x14ac:dyDescent="0.25">
      <c r="A178" s="125">
        <v>4</v>
      </c>
      <c r="B178" s="126" t="s">
        <v>107</v>
      </c>
      <c r="C178" s="130"/>
      <c r="D178" s="129"/>
      <c r="E178" s="131"/>
      <c r="F178" s="131"/>
      <c r="G178" s="147"/>
      <c r="H178" s="241"/>
      <c r="I178" s="241"/>
      <c r="J178" s="241"/>
      <c r="K178" s="241"/>
      <c r="L178" s="241"/>
      <c r="M178" s="241"/>
      <c r="N178" s="241"/>
      <c r="O178" s="241"/>
      <c r="P178" s="241"/>
      <c r="Q178" s="252"/>
      <c r="R178" s="260"/>
      <c r="S178" s="230"/>
      <c r="T178" s="232"/>
      <c r="U178" s="230"/>
      <c r="V178" s="230"/>
      <c r="W178" s="232"/>
      <c r="X178" s="232"/>
    </row>
    <row r="179" spans="1:24" hidden="1" x14ac:dyDescent="0.25">
      <c r="A179" s="70" t="s">
        <v>19</v>
      </c>
      <c r="B179" s="77"/>
      <c r="C179" s="162"/>
      <c r="D179" s="161"/>
      <c r="E179" s="74"/>
      <c r="F179" s="48"/>
      <c r="G179" s="1"/>
      <c r="H179" s="242"/>
      <c r="I179" s="242"/>
      <c r="J179" s="242"/>
      <c r="K179" s="242"/>
      <c r="L179" s="242"/>
      <c r="M179" s="242"/>
      <c r="N179" s="242"/>
      <c r="O179" s="242"/>
      <c r="P179" s="242"/>
      <c r="Q179" s="251"/>
      <c r="R179" s="257"/>
      <c r="S179" s="225"/>
      <c r="T179" s="231"/>
      <c r="U179" s="225"/>
      <c r="V179" s="225"/>
      <c r="W179" s="231"/>
      <c r="X179" s="231"/>
    </row>
    <row r="180" spans="1:24" hidden="1" x14ac:dyDescent="0.25">
      <c r="A180" s="77" t="s">
        <v>142</v>
      </c>
      <c r="B180" s="163" t="s">
        <v>44</v>
      </c>
      <c r="C180" s="21"/>
      <c r="D180" s="25"/>
      <c r="E180" s="18"/>
      <c r="F180" s="48">
        <f>D180*E180</f>
        <v>0</v>
      </c>
      <c r="G180" s="1">
        <f>F180*C4</f>
        <v>0</v>
      </c>
      <c r="H180" s="242"/>
      <c r="I180" s="242"/>
      <c r="J180" s="242"/>
      <c r="K180" s="242"/>
      <c r="L180" s="242"/>
      <c r="M180" s="242"/>
      <c r="N180" s="242"/>
      <c r="O180" s="242"/>
      <c r="P180" s="242"/>
      <c r="Q180" s="251"/>
      <c r="R180" s="262"/>
      <c r="S180" s="225">
        <f t="shared" si="7"/>
        <v>0</v>
      </c>
      <c r="T180" s="231">
        <f t="shared" si="8"/>
        <v>0</v>
      </c>
      <c r="U180" s="225">
        <f t="shared" si="9"/>
        <v>0</v>
      </c>
      <c r="V180" s="225">
        <f t="shared" si="10"/>
        <v>0</v>
      </c>
      <c r="W180" s="231">
        <f t="shared" si="11"/>
        <v>0</v>
      </c>
      <c r="X180" s="231"/>
    </row>
    <row r="181" spans="1:24" hidden="1" x14ac:dyDescent="0.25">
      <c r="A181" s="77" t="s">
        <v>143</v>
      </c>
      <c r="B181" s="163" t="s">
        <v>45</v>
      </c>
      <c r="C181" s="21"/>
      <c r="D181" s="25"/>
      <c r="E181" s="18"/>
      <c r="F181" s="48">
        <f>D181*E181</f>
        <v>0</v>
      </c>
      <c r="G181" s="1">
        <f>F181*C4</f>
        <v>0</v>
      </c>
      <c r="H181" s="242"/>
      <c r="I181" s="242"/>
      <c r="J181" s="242"/>
      <c r="K181" s="242"/>
      <c r="L181" s="242"/>
      <c r="M181" s="242"/>
      <c r="N181" s="242"/>
      <c r="O181" s="242"/>
      <c r="P181" s="242"/>
      <c r="Q181" s="251"/>
      <c r="R181" s="262"/>
      <c r="S181" s="225">
        <f t="shared" si="7"/>
        <v>0</v>
      </c>
      <c r="T181" s="231">
        <f t="shared" si="8"/>
        <v>0</v>
      </c>
      <c r="U181" s="225">
        <f t="shared" si="9"/>
        <v>0</v>
      </c>
      <c r="V181" s="225">
        <f t="shared" si="10"/>
        <v>0</v>
      </c>
      <c r="W181" s="231">
        <f t="shared" si="11"/>
        <v>0</v>
      </c>
      <c r="X181" s="231"/>
    </row>
    <row r="182" spans="1:24" x14ac:dyDescent="0.25">
      <c r="A182" s="70" t="s">
        <v>7</v>
      </c>
      <c r="B182" s="137"/>
      <c r="C182" s="22"/>
      <c r="D182" s="44"/>
      <c r="E182" s="14"/>
      <c r="F182" s="48"/>
      <c r="G182" s="1"/>
      <c r="H182" s="242"/>
      <c r="I182" s="242"/>
      <c r="J182" s="242"/>
      <c r="K182" s="242"/>
      <c r="L182" s="242"/>
      <c r="M182" s="242"/>
      <c r="N182" s="242"/>
      <c r="O182" s="242"/>
      <c r="P182" s="242"/>
      <c r="Q182" s="251"/>
      <c r="R182" s="257"/>
      <c r="S182" s="225"/>
      <c r="T182" s="231"/>
      <c r="U182" s="225"/>
      <c r="V182" s="225"/>
      <c r="W182" s="231"/>
      <c r="X182" s="231"/>
    </row>
    <row r="183" spans="1:24" x14ac:dyDescent="0.25">
      <c r="A183" s="77" t="s">
        <v>144</v>
      </c>
      <c r="B183" s="163" t="s">
        <v>46</v>
      </c>
      <c r="C183" s="21" t="s">
        <v>322</v>
      </c>
      <c r="D183" s="25">
        <v>12</v>
      </c>
      <c r="E183" s="18">
        <f>1500*490</f>
        <v>735000</v>
      </c>
      <c r="F183" s="48">
        <f>D183*E183</f>
        <v>8820000</v>
      </c>
      <c r="G183" s="49">
        <f>F183*C4</f>
        <v>41013</v>
      </c>
      <c r="H183" s="242"/>
      <c r="I183" s="242"/>
      <c r="J183" s="242"/>
      <c r="K183" s="242"/>
      <c r="L183" s="242"/>
      <c r="M183" s="242"/>
      <c r="N183" s="242"/>
      <c r="O183" s="242"/>
      <c r="P183" s="242"/>
      <c r="Q183" s="251"/>
      <c r="R183" s="262"/>
      <c r="S183" s="225">
        <f t="shared" si="7"/>
        <v>-8820000</v>
      </c>
      <c r="T183" s="231">
        <f t="shared" si="8"/>
        <v>-1</v>
      </c>
      <c r="U183" s="225">
        <f t="shared" si="9"/>
        <v>0</v>
      </c>
      <c r="V183" s="225">
        <f t="shared" si="10"/>
        <v>-41013</v>
      </c>
      <c r="W183" s="231">
        <f t="shared" si="11"/>
        <v>-1</v>
      </c>
      <c r="X183" s="231"/>
    </row>
    <row r="184" spans="1:24" x14ac:dyDescent="0.25">
      <c r="A184" s="77" t="s">
        <v>145</v>
      </c>
      <c r="B184" s="137" t="s">
        <v>47</v>
      </c>
      <c r="C184" s="21" t="s">
        <v>322</v>
      </c>
      <c r="D184" s="25">
        <v>12</v>
      </c>
      <c r="E184" s="18">
        <f>500*490</f>
        <v>245000</v>
      </c>
      <c r="F184" s="48">
        <f>D184*E184</f>
        <v>2940000</v>
      </c>
      <c r="G184" s="49">
        <f>F184*C4</f>
        <v>13670.999999999998</v>
      </c>
      <c r="H184" s="242"/>
      <c r="I184" s="242"/>
      <c r="J184" s="242"/>
      <c r="K184" s="242"/>
      <c r="L184" s="242"/>
      <c r="M184" s="242"/>
      <c r="N184" s="242"/>
      <c r="O184" s="242"/>
      <c r="P184" s="242"/>
      <c r="Q184" s="251"/>
      <c r="R184" s="262"/>
      <c r="S184" s="225">
        <f t="shared" si="7"/>
        <v>-2940000</v>
      </c>
      <c r="T184" s="231">
        <f t="shared" si="8"/>
        <v>-1</v>
      </c>
      <c r="U184" s="225">
        <f t="shared" si="9"/>
        <v>0</v>
      </c>
      <c r="V184" s="225">
        <f t="shared" si="10"/>
        <v>-13670.999999999998</v>
      </c>
      <c r="W184" s="231">
        <f t="shared" si="11"/>
        <v>-1</v>
      </c>
      <c r="X184" s="231"/>
    </row>
    <row r="185" spans="1:24" x14ac:dyDescent="0.25">
      <c r="A185" s="70" t="s">
        <v>8</v>
      </c>
      <c r="B185" s="137"/>
      <c r="C185" s="52"/>
      <c r="D185" s="23"/>
      <c r="E185" s="24"/>
      <c r="F185" s="48"/>
      <c r="G185" s="1"/>
      <c r="H185" s="242"/>
      <c r="I185" s="242"/>
      <c r="J185" s="242"/>
      <c r="K185" s="242"/>
      <c r="L185" s="242"/>
      <c r="M185" s="242"/>
      <c r="N185" s="242"/>
      <c r="O185" s="242"/>
      <c r="P185" s="242"/>
      <c r="Q185" s="251"/>
      <c r="R185" s="257"/>
      <c r="S185" s="225"/>
      <c r="T185" s="231"/>
      <c r="U185" s="225"/>
      <c r="V185" s="225"/>
      <c r="W185" s="231"/>
      <c r="X185" s="231"/>
    </row>
    <row r="186" spans="1:24" x14ac:dyDescent="0.25">
      <c r="A186" s="77" t="s">
        <v>150</v>
      </c>
      <c r="B186" s="140" t="s">
        <v>181</v>
      </c>
      <c r="C186" s="21" t="s">
        <v>322</v>
      </c>
      <c r="D186" s="25">
        <v>12</v>
      </c>
      <c r="E186" s="18">
        <f>900*490</f>
        <v>441000</v>
      </c>
      <c r="F186" s="48">
        <f>D186*E186</f>
        <v>5292000</v>
      </c>
      <c r="G186" s="1">
        <f>F186*C4</f>
        <v>24607.8</v>
      </c>
      <c r="H186" s="242"/>
      <c r="I186" s="242"/>
      <c r="J186" s="242"/>
      <c r="K186" s="242"/>
      <c r="L186" s="242"/>
      <c r="M186" s="242"/>
      <c r="N186" s="242"/>
      <c r="O186" s="242"/>
      <c r="P186" s="242"/>
      <c r="Q186" s="251"/>
      <c r="R186" s="262"/>
      <c r="S186" s="225">
        <f t="shared" si="7"/>
        <v>-5292000</v>
      </c>
      <c r="T186" s="231">
        <f t="shared" si="8"/>
        <v>-1</v>
      </c>
      <c r="U186" s="225">
        <f t="shared" si="9"/>
        <v>0</v>
      </c>
      <c r="V186" s="225">
        <f t="shared" si="10"/>
        <v>-24607.8</v>
      </c>
      <c r="W186" s="231">
        <f t="shared" si="11"/>
        <v>-1</v>
      </c>
      <c r="X186" s="231"/>
    </row>
    <row r="187" spans="1:24" x14ac:dyDescent="0.25">
      <c r="A187" s="77" t="s">
        <v>146</v>
      </c>
      <c r="B187" s="149" t="s">
        <v>50</v>
      </c>
      <c r="C187" s="21" t="s">
        <v>322</v>
      </c>
      <c r="D187" s="25">
        <v>12</v>
      </c>
      <c r="E187" s="18">
        <f>400*490</f>
        <v>196000</v>
      </c>
      <c r="F187" s="48">
        <f>D187*E187</f>
        <v>2352000</v>
      </c>
      <c r="G187" s="1">
        <f>F187*C4</f>
        <v>10936.8</v>
      </c>
      <c r="H187" s="242"/>
      <c r="I187" s="242"/>
      <c r="J187" s="242"/>
      <c r="K187" s="242"/>
      <c r="L187" s="242"/>
      <c r="M187" s="242"/>
      <c r="N187" s="242"/>
      <c r="O187" s="242"/>
      <c r="P187" s="242"/>
      <c r="Q187" s="251"/>
      <c r="R187" s="262"/>
      <c r="S187" s="225">
        <f t="shared" si="7"/>
        <v>-2352000</v>
      </c>
      <c r="T187" s="231">
        <f t="shared" si="8"/>
        <v>-1</v>
      </c>
      <c r="U187" s="225">
        <f t="shared" si="9"/>
        <v>0</v>
      </c>
      <c r="V187" s="225">
        <f t="shared" si="10"/>
        <v>-10936.8</v>
      </c>
      <c r="W187" s="231">
        <f t="shared" si="11"/>
        <v>-1</v>
      </c>
      <c r="X187" s="231"/>
    </row>
    <row r="188" spans="1:24" x14ac:dyDescent="0.25">
      <c r="A188" s="77" t="s">
        <v>147</v>
      </c>
      <c r="B188" s="149" t="s">
        <v>51</v>
      </c>
      <c r="C188" s="21" t="s">
        <v>322</v>
      </c>
      <c r="D188" s="25">
        <v>12</v>
      </c>
      <c r="E188" s="291">
        <f>225*490</f>
        <v>110250</v>
      </c>
      <c r="F188" s="48">
        <f>D188*E188</f>
        <v>1323000</v>
      </c>
      <c r="G188" s="1">
        <f>F188*C4</f>
        <v>6151.95</v>
      </c>
      <c r="H188" s="242"/>
      <c r="I188" s="242"/>
      <c r="J188" s="242"/>
      <c r="K188" s="242"/>
      <c r="L188" s="242"/>
      <c r="M188" s="242"/>
      <c r="N188" s="242"/>
      <c r="O188" s="242"/>
      <c r="P188" s="242"/>
      <c r="Q188" s="251"/>
      <c r="R188" s="262"/>
      <c r="S188" s="225">
        <f t="shared" si="7"/>
        <v>-1323000</v>
      </c>
      <c r="T188" s="231">
        <f t="shared" si="8"/>
        <v>-1</v>
      </c>
      <c r="U188" s="225">
        <f t="shared" si="9"/>
        <v>0</v>
      </c>
      <c r="V188" s="225">
        <f t="shared" si="10"/>
        <v>-6151.95</v>
      </c>
      <c r="W188" s="231">
        <f t="shared" si="11"/>
        <v>-1</v>
      </c>
      <c r="X188" s="231"/>
    </row>
    <row r="189" spans="1:24" x14ac:dyDescent="0.25">
      <c r="A189" s="77" t="s">
        <v>148</v>
      </c>
      <c r="B189" s="149" t="s">
        <v>125</v>
      </c>
      <c r="C189" s="21" t="s">
        <v>322</v>
      </c>
      <c r="D189" s="25">
        <v>12</v>
      </c>
      <c r="E189" s="292">
        <f>800*490</f>
        <v>392000</v>
      </c>
      <c r="F189" s="48">
        <f>D189*E189</f>
        <v>4704000</v>
      </c>
      <c r="G189" s="1">
        <f>F189*C4</f>
        <v>21873.599999999999</v>
      </c>
      <c r="H189" s="242"/>
      <c r="I189" s="242"/>
      <c r="J189" s="242"/>
      <c r="K189" s="242"/>
      <c r="L189" s="242"/>
      <c r="M189" s="242"/>
      <c r="N189" s="242"/>
      <c r="O189" s="242"/>
      <c r="P189" s="242"/>
      <c r="Q189" s="251"/>
      <c r="R189" s="262"/>
      <c r="S189" s="225">
        <f t="shared" si="7"/>
        <v>-4704000</v>
      </c>
      <c r="T189" s="231">
        <f t="shared" si="8"/>
        <v>-1</v>
      </c>
      <c r="U189" s="225">
        <f t="shared" si="9"/>
        <v>0</v>
      </c>
      <c r="V189" s="225">
        <f t="shared" si="10"/>
        <v>-21873.599999999999</v>
      </c>
      <c r="W189" s="231">
        <f t="shared" si="11"/>
        <v>-1</v>
      </c>
      <c r="X189" s="231"/>
    </row>
    <row r="190" spans="1:24" x14ac:dyDescent="0.25">
      <c r="A190" s="77" t="s">
        <v>149</v>
      </c>
      <c r="B190" s="149" t="s">
        <v>126</v>
      </c>
      <c r="C190" s="21" t="s">
        <v>322</v>
      </c>
      <c r="D190" s="25">
        <v>12</v>
      </c>
      <c r="E190" s="292">
        <f>400*490</f>
        <v>196000</v>
      </c>
      <c r="F190" s="48">
        <f>D190*E190</f>
        <v>2352000</v>
      </c>
      <c r="G190" s="1">
        <f>F190*C4</f>
        <v>10936.8</v>
      </c>
      <c r="H190" s="242"/>
      <c r="I190" s="242"/>
      <c r="J190" s="242"/>
      <c r="K190" s="242"/>
      <c r="L190" s="242"/>
      <c r="M190" s="242"/>
      <c r="N190" s="242"/>
      <c r="O190" s="242"/>
      <c r="P190" s="242"/>
      <c r="Q190" s="251"/>
      <c r="R190" s="262"/>
      <c r="S190" s="225">
        <f t="shared" si="7"/>
        <v>-2352000</v>
      </c>
      <c r="T190" s="231">
        <f t="shared" si="8"/>
        <v>-1</v>
      </c>
      <c r="U190" s="225">
        <f t="shared" si="9"/>
        <v>0</v>
      </c>
      <c r="V190" s="225">
        <f t="shared" si="10"/>
        <v>-10936.8</v>
      </c>
      <c r="W190" s="231">
        <f t="shared" si="11"/>
        <v>-1</v>
      </c>
      <c r="X190" s="231"/>
    </row>
    <row r="191" spans="1:24" x14ac:dyDescent="0.25">
      <c r="C191" s="5"/>
      <c r="D191" s="5"/>
      <c r="E191" s="5"/>
      <c r="F191" s="168"/>
      <c r="H191" s="242"/>
      <c r="I191" s="242"/>
      <c r="J191" s="242"/>
      <c r="K191" s="242"/>
      <c r="L191" s="242"/>
      <c r="M191" s="242"/>
      <c r="N191" s="242"/>
      <c r="O191" s="242"/>
      <c r="P191" s="242"/>
      <c r="Q191" s="251"/>
      <c r="R191" s="257"/>
      <c r="S191" s="225"/>
      <c r="T191" s="231"/>
      <c r="U191" s="225"/>
      <c r="V191" s="225"/>
      <c r="W191" s="231"/>
      <c r="X191" s="231"/>
    </row>
    <row r="192" spans="1:24" hidden="1" x14ac:dyDescent="0.25">
      <c r="A192" s="200"/>
      <c r="B192" s="201" t="s">
        <v>188</v>
      </c>
      <c r="C192" s="201"/>
      <c r="D192" s="201"/>
      <c r="E192" s="201"/>
      <c r="F192" s="202">
        <f>SUM(F180:F182)</f>
        <v>0</v>
      </c>
      <c r="G192" s="201">
        <f>SUM(G180:G182)</f>
        <v>0</v>
      </c>
      <c r="H192" s="242"/>
      <c r="I192" s="242"/>
      <c r="J192" s="242"/>
      <c r="K192" s="242"/>
      <c r="L192" s="242"/>
      <c r="M192" s="242"/>
      <c r="N192" s="242"/>
      <c r="O192" s="242"/>
      <c r="P192" s="242"/>
      <c r="Q192" s="251"/>
      <c r="R192" s="257"/>
      <c r="S192" s="225">
        <f t="shared" si="7"/>
        <v>0</v>
      </c>
      <c r="T192" s="231">
        <f t="shared" si="8"/>
        <v>0</v>
      </c>
      <c r="U192" s="225">
        <f t="shared" si="9"/>
        <v>0</v>
      </c>
      <c r="V192" s="225">
        <f t="shared" si="10"/>
        <v>0</v>
      </c>
      <c r="W192" s="231">
        <f t="shared" si="11"/>
        <v>0</v>
      </c>
      <c r="X192" s="231"/>
    </row>
    <row r="193" spans="1:24" hidden="1" x14ac:dyDescent="0.25">
      <c r="A193" s="200"/>
      <c r="B193" s="201" t="s">
        <v>7</v>
      </c>
      <c r="C193" s="201"/>
      <c r="D193" s="201"/>
      <c r="E193" s="201"/>
      <c r="F193" s="202">
        <f>SUM(F183:F185)</f>
        <v>11760000</v>
      </c>
      <c r="G193" s="201">
        <f>SUM(G183:G185)</f>
        <v>54684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51"/>
      <c r="R193" s="257"/>
      <c r="S193" s="225">
        <f t="shared" si="7"/>
        <v>-11760000</v>
      </c>
      <c r="T193" s="231">
        <f t="shared" si="8"/>
        <v>-1</v>
      </c>
      <c r="U193" s="225">
        <f t="shared" si="9"/>
        <v>0</v>
      </c>
      <c r="V193" s="225">
        <f t="shared" si="10"/>
        <v>-54684</v>
      </c>
      <c r="W193" s="231">
        <f t="shared" si="11"/>
        <v>-1</v>
      </c>
      <c r="X193" s="231"/>
    </row>
    <row r="194" spans="1:24" hidden="1" x14ac:dyDescent="0.25">
      <c r="A194" s="200"/>
      <c r="B194" s="201" t="s">
        <v>8</v>
      </c>
      <c r="C194" s="201"/>
      <c r="D194" s="201"/>
      <c r="E194" s="201"/>
      <c r="F194" s="202">
        <f>SUM(F186:F191)</f>
        <v>16023000</v>
      </c>
      <c r="G194" s="201">
        <f>SUM(G186:G191)</f>
        <v>74506.95</v>
      </c>
      <c r="H194" s="242"/>
      <c r="I194" s="242"/>
      <c r="J194" s="242"/>
      <c r="K194" s="242"/>
      <c r="L194" s="242"/>
      <c r="M194" s="242"/>
      <c r="N194" s="242"/>
      <c r="O194" s="242"/>
      <c r="P194" s="242"/>
      <c r="Q194" s="251"/>
      <c r="R194" s="257"/>
      <c r="S194" s="225">
        <f t="shared" si="7"/>
        <v>-16023000</v>
      </c>
      <c r="T194" s="231">
        <f t="shared" si="8"/>
        <v>-1</v>
      </c>
      <c r="U194" s="225">
        <f t="shared" si="9"/>
        <v>0</v>
      </c>
      <c r="V194" s="225">
        <f t="shared" si="10"/>
        <v>-74506.95</v>
      </c>
      <c r="W194" s="231">
        <f t="shared" si="11"/>
        <v>-1</v>
      </c>
      <c r="X194" s="231"/>
    </row>
    <row r="195" spans="1:24" ht="13.8" thickBot="1" x14ac:dyDescent="0.3">
      <c r="A195" s="99"/>
      <c r="B195" s="146" t="s">
        <v>109</v>
      </c>
      <c r="C195" s="118"/>
      <c r="D195" s="122"/>
      <c r="E195" s="123"/>
      <c r="F195" s="50">
        <f>SUM(F180+F181+F183+F184+F186+F187+F188+F189+F190)</f>
        <v>27783000</v>
      </c>
      <c r="G195" s="50">
        <f>SUM(G180+G181+G183+G184+G186+G188+G187+G189+G190)</f>
        <v>129190.95</v>
      </c>
      <c r="H195" s="244"/>
      <c r="I195" s="244"/>
      <c r="J195" s="244"/>
      <c r="K195" s="244"/>
      <c r="L195" s="244"/>
      <c r="M195" s="244"/>
      <c r="N195" s="244"/>
      <c r="O195" s="244"/>
      <c r="P195" s="244"/>
      <c r="Q195" s="253"/>
      <c r="R195" s="263"/>
      <c r="S195" s="237">
        <f t="shared" si="7"/>
        <v>-27783000</v>
      </c>
      <c r="T195" s="238">
        <f t="shared" si="8"/>
        <v>-1</v>
      </c>
      <c r="U195" s="237">
        <f t="shared" si="9"/>
        <v>0</v>
      </c>
      <c r="V195" s="237">
        <f t="shared" si="10"/>
        <v>-129190.95</v>
      </c>
      <c r="W195" s="238">
        <f t="shared" si="11"/>
        <v>-1</v>
      </c>
      <c r="X195" s="238"/>
    </row>
    <row r="196" spans="1:24" ht="13.8" thickTop="1" x14ac:dyDescent="0.25">
      <c r="A196" s="99"/>
      <c r="B196" s="146"/>
      <c r="C196" s="118"/>
      <c r="D196" s="122"/>
      <c r="E196" s="123"/>
      <c r="F196" s="169"/>
      <c r="G196" s="169"/>
      <c r="H196" s="244"/>
      <c r="I196" s="244"/>
      <c r="J196" s="244"/>
      <c r="K196" s="244"/>
      <c r="L196" s="244"/>
      <c r="M196" s="244"/>
      <c r="N196" s="244"/>
      <c r="O196" s="244"/>
      <c r="P196" s="244"/>
      <c r="Q196" s="253"/>
      <c r="R196" s="259"/>
      <c r="S196" s="225"/>
      <c r="T196" s="231"/>
      <c r="U196" s="225"/>
      <c r="V196" s="225"/>
      <c r="W196" s="231"/>
      <c r="X196" s="231"/>
    </row>
    <row r="197" spans="1:24" x14ac:dyDescent="0.25">
      <c r="A197" s="125">
        <v>5</v>
      </c>
      <c r="B197" s="126" t="s">
        <v>111</v>
      </c>
      <c r="C197" s="130"/>
      <c r="D197" s="129"/>
      <c r="E197" s="131"/>
      <c r="F197" s="131"/>
      <c r="G197" s="147"/>
      <c r="H197" s="241"/>
      <c r="I197" s="241"/>
      <c r="J197" s="241"/>
      <c r="K197" s="241"/>
      <c r="L197" s="241"/>
      <c r="M197" s="241"/>
      <c r="N197" s="241"/>
      <c r="O197" s="241"/>
      <c r="P197" s="241"/>
      <c r="Q197" s="252"/>
      <c r="R197" s="260"/>
      <c r="S197" s="230"/>
      <c r="T197" s="232"/>
      <c r="U197" s="230"/>
      <c r="V197" s="230"/>
      <c r="W197" s="232"/>
      <c r="X197" s="232"/>
    </row>
    <row r="198" spans="1:24" x14ac:dyDescent="0.25">
      <c r="A198" s="77" t="s">
        <v>151</v>
      </c>
      <c r="B198" s="163" t="s">
        <v>11</v>
      </c>
      <c r="C198" s="21" t="s">
        <v>574</v>
      </c>
      <c r="D198" s="25">
        <v>6</v>
      </c>
      <c r="E198" s="18">
        <v>118280</v>
      </c>
      <c r="F198" s="48">
        <f>D198*E198</f>
        <v>709680</v>
      </c>
      <c r="G198" s="49">
        <f>F198*C4</f>
        <v>3300.0119999999997</v>
      </c>
      <c r="H198" s="242"/>
      <c r="I198" s="242"/>
      <c r="J198" s="242"/>
      <c r="K198" s="242"/>
      <c r="L198" s="242"/>
      <c r="M198" s="242"/>
      <c r="N198" s="242"/>
      <c r="O198" s="242"/>
      <c r="P198" s="242"/>
      <c r="Q198" s="251"/>
      <c r="R198" s="262"/>
      <c r="S198" s="225">
        <f t="shared" si="7"/>
        <v>-709680</v>
      </c>
      <c r="T198" s="231">
        <f t="shared" si="8"/>
        <v>-1</v>
      </c>
      <c r="U198" s="225">
        <f t="shared" si="9"/>
        <v>0</v>
      </c>
      <c r="V198" s="225">
        <f t="shared" si="10"/>
        <v>-3300.0119999999997</v>
      </c>
      <c r="W198" s="231">
        <f t="shared" si="11"/>
        <v>-1</v>
      </c>
      <c r="X198" s="231"/>
    </row>
    <row r="199" spans="1:24" x14ac:dyDescent="0.25">
      <c r="A199" s="77" t="s">
        <v>152</v>
      </c>
      <c r="B199" s="163" t="s">
        <v>12</v>
      </c>
      <c r="C199" s="21" t="s">
        <v>390</v>
      </c>
      <c r="D199" s="25">
        <v>1</v>
      </c>
      <c r="E199" s="18">
        <f>200*490</f>
        <v>98000</v>
      </c>
      <c r="F199" s="48">
        <f>D199*E199</f>
        <v>98000</v>
      </c>
      <c r="G199" s="49">
        <f>F199*C4</f>
        <v>455.7</v>
      </c>
      <c r="H199" s="242"/>
      <c r="I199" s="242"/>
      <c r="J199" s="242"/>
      <c r="K199" s="242"/>
      <c r="L199" s="242"/>
      <c r="M199" s="242"/>
      <c r="N199" s="242"/>
      <c r="O199" s="242"/>
      <c r="P199" s="242"/>
      <c r="Q199" s="251"/>
      <c r="R199" s="262"/>
      <c r="S199" s="225">
        <f t="shared" si="7"/>
        <v>-98000</v>
      </c>
      <c r="T199" s="231">
        <f t="shared" si="8"/>
        <v>-1</v>
      </c>
      <c r="U199" s="225">
        <f t="shared" si="9"/>
        <v>0</v>
      </c>
      <c r="V199" s="225">
        <f t="shared" si="10"/>
        <v>-455.7</v>
      </c>
      <c r="W199" s="231">
        <f t="shared" si="11"/>
        <v>-1</v>
      </c>
      <c r="X199" s="231"/>
    </row>
    <row r="200" spans="1:24" x14ac:dyDescent="0.25">
      <c r="A200" s="77" t="s">
        <v>153</v>
      </c>
      <c r="B200" s="163" t="s">
        <v>13</v>
      </c>
      <c r="C200" s="21" t="s">
        <v>464</v>
      </c>
      <c r="D200" s="25">
        <v>1</v>
      </c>
      <c r="E200" s="18">
        <f>900*490</f>
        <v>441000</v>
      </c>
      <c r="F200" s="48">
        <f>D200*E200</f>
        <v>441000</v>
      </c>
      <c r="G200" s="49">
        <f>F200*C4</f>
        <v>2050.6499999999996</v>
      </c>
      <c r="H200" s="242"/>
      <c r="I200" s="242"/>
      <c r="J200" s="242"/>
      <c r="K200" s="242"/>
      <c r="L200" s="242"/>
      <c r="M200" s="242"/>
      <c r="N200" s="242"/>
      <c r="O200" s="242"/>
      <c r="P200" s="242"/>
      <c r="Q200" s="251"/>
      <c r="R200" s="262"/>
      <c r="S200" s="225">
        <f t="shared" si="7"/>
        <v>-441000</v>
      </c>
      <c r="T200" s="231">
        <f t="shared" si="8"/>
        <v>-1</v>
      </c>
      <c r="U200" s="225">
        <f t="shared" si="9"/>
        <v>0</v>
      </c>
      <c r="V200" s="225">
        <f t="shared" si="10"/>
        <v>-2050.6499999999996</v>
      </c>
      <c r="W200" s="231">
        <f t="shared" si="11"/>
        <v>-1</v>
      </c>
      <c r="X200" s="231"/>
    </row>
    <row r="201" spans="1:24" hidden="1" x14ac:dyDescent="0.25">
      <c r="A201" s="77" t="s">
        <v>154</v>
      </c>
      <c r="B201" s="163" t="s">
        <v>14</v>
      </c>
      <c r="C201" s="35"/>
      <c r="D201" s="36"/>
      <c r="E201" s="39"/>
      <c r="F201" s="48">
        <f>D201*E201</f>
        <v>0</v>
      </c>
      <c r="G201" s="49">
        <f>F201*C4</f>
        <v>0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51"/>
      <c r="R201" s="262"/>
      <c r="S201" s="225">
        <f t="shared" si="7"/>
        <v>0</v>
      </c>
      <c r="T201" s="231">
        <f t="shared" si="8"/>
        <v>0</v>
      </c>
      <c r="U201" s="225">
        <f t="shared" si="9"/>
        <v>0</v>
      </c>
      <c r="V201" s="225">
        <f t="shared" si="10"/>
        <v>0</v>
      </c>
      <c r="W201" s="231">
        <f t="shared" si="11"/>
        <v>0</v>
      </c>
      <c r="X201" s="231"/>
    </row>
    <row r="202" spans="1:24" ht="39.6" x14ac:dyDescent="0.25">
      <c r="A202" s="77" t="s">
        <v>155</v>
      </c>
      <c r="B202" s="163" t="s">
        <v>56</v>
      </c>
      <c r="C202" s="358" t="s">
        <v>844</v>
      </c>
      <c r="D202" s="25">
        <v>3</v>
      </c>
      <c r="E202" s="25">
        <v>143369</v>
      </c>
      <c r="F202" s="48">
        <f>D202*E202</f>
        <v>430107</v>
      </c>
      <c r="G202" s="49">
        <f>F202*C4</f>
        <v>1999.9975499999998</v>
      </c>
      <c r="H202" s="242"/>
      <c r="I202" s="242"/>
      <c r="J202" s="242"/>
      <c r="K202" s="242"/>
      <c r="L202" s="242"/>
      <c r="M202" s="242"/>
      <c r="N202" s="242"/>
      <c r="O202" s="242"/>
      <c r="P202" s="242"/>
      <c r="Q202" s="251"/>
      <c r="R202" s="262"/>
      <c r="S202" s="225">
        <f t="shared" si="7"/>
        <v>-430107</v>
      </c>
      <c r="T202" s="231">
        <f t="shared" si="8"/>
        <v>-1</v>
      </c>
      <c r="U202" s="225">
        <f t="shared" si="9"/>
        <v>0</v>
      </c>
      <c r="V202" s="225">
        <f t="shared" si="10"/>
        <v>-1999.9975499999998</v>
      </c>
      <c r="W202" s="231">
        <f t="shared" si="11"/>
        <v>-1</v>
      </c>
      <c r="X202" s="231"/>
    </row>
    <row r="203" spans="1:24" x14ac:dyDescent="0.25">
      <c r="B203" s="163"/>
      <c r="C203" s="6"/>
      <c r="D203" s="7"/>
      <c r="E203" s="8"/>
      <c r="F203" s="48"/>
      <c r="H203" s="242"/>
      <c r="I203" s="242"/>
      <c r="J203" s="242"/>
      <c r="K203" s="242"/>
      <c r="L203" s="242"/>
      <c r="M203" s="242"/>
      <c r="N203" s="242"/>
      <c r="O203" s="242"/>
      <c r="P203" s="242"/>
      <c r="Q203" s="251"/>
      <c r="R203" s="257"/>
      <c r="S203" s="225"/>
      <c r="T203" s="231"/>
      <c r="U203" s="225"/>
      <c r="V203" s="225"/>
      <c r="W203" s="231"/>
      <c r="X203" s="231"/>
    </row>
    <row r="204" spans="1:24" ht="13.8" thickBot="1" x14ac:dyDescent="0.3">
      <c r="A204" s="99"/>
      <c r="B204" s="146" t="s">
        <v>112</v>
      </c>
      <c r="C204" s="118"/>
      <c r="D204" s="122"/>
      <c r="E204" s="123"/>
      <c r="F204" s="50">
        <f>SUM(F198:F202)</f>
        <v>1678787</v>
      </c>
      <c r="G204" s="50">
        <f>SUM(G198:G202)</f>
        <v>7806.3595499999992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53"/>
      <c r="R204" s="263"/>
      <c r="S204" s="237">
        <f t="shared" si="7"/>
        <v>-1678787</v>
      </c>
      <c r="T204" s="238">
        <f t="shared" si="8"/>
        <v>-1</v>
      </c>
      <c r="U204" s="237">
        <f t="shared" si="9"/>
        <v>0</v>
      </c>
      <c r="V204" s="237">
        <f t="shared" si="10"/>
        <v>-7806.3595499999992</v>
      </c>
      <c r="W204" s="238">
        <f t="shared" si="11"/>
        <v>-1</v>
      </c>
      <c r="X204" s="238"/>
    </row>
    <row r="205" spans="1:24" ht="13.8" thickTop="1" x14ac:dyDescent="0.25">
      <c r="B205" s="163"/>
      <c r="F205" s="48"/>
      <c r="H205" s="242"/>
      <c r="I205" s="242"/>
      <c r="J205" s="242"/>
      <c r="K205" s="242"/>
      <c r="L205" s="242"/>
      <c r="M205" s="242"/>
      <c r="N205" s="242"/>
      <c r="O205" s="242"/>
      <c r="P205" s="242"/>
      <c r="Q205" s="251"/>
      <c r="R205" s="257"/>
      <c r="S205" s="225"/>
      <c r="T205" s="231"/>
      <c r="U205" s="225"/>
      <c r="V205" s="225"/>
      <c r="W205" s="231"/>
      <c r="X205" s="231"/>
    </row>
    <row r="206" spans="1:24" x14ac:dyDescent="0.25">
      <c r="A206" s="125">
        <v>6</v>
      </c>
      <c r="B206" s="126" t="s">
        <v>113</v>
      </c>
      <c r="C206" s="130"/>
      <c r="D206" s="129"/>
      <c r="E206" s="131"/>
      <c r="F206" s="131"/>
      <c r="G206" s="147"/>
      <c r="H206" s="241"/>
      <c r="I206" s="241"/>
      <c r="J206" s="241"/>
      <c r="K206" s="241"/>
      <c r="L206" s="241"/>
      <c r="M206" s="241"/>
      <c r="N206" s="241"/>
      <c r="O206" s="241"/>
      <c r="P206" s="241"/>
      <c r="Q206" s="252"/>
      <c r="R206" s="260"/>
      <c r="S206" s="230"/>
      <c r="T206" s="232"/>
      <c r="U206" s="230"/>
      <c r="V206" s="230"/>
      <c r="W206" s="232"/>
      <c r="X206" s="232"/>
    </row>
    <row r="207" spans="1:24" x14ac:dyDescent="0.25">
      <c r="A207" s="99" t="s">
        <v>114</v>
      </c>
      <c r="B207" s="99" t="s">
        <v>71</v>
      </c>
      <c r="C207" s="2"/>
      <c r="D207" s="142"/>
      <c r="E207" s="143"/>
      <c r="F207" s="3"/>
      <c r="G207" s="53"/>
      <c r="H207" s="242"/>
      <c r="I207" s="242"/>
      <c r="J207" s="242"/>
      <c r="K207" s="242"/>
      <c r="L207" s="242"/>
      <c r="M207" s="242"/>
      <c r="N207" s="242"/>
      <c r="O207" s="242"/>
      <c r="P207" s="242"/>
      <c r="Q207" s="251"/>
      <c r="R207" s="256"/>
      <c r="S207" s="225"/>
      <c r="T207" s="231"/>
      <c r="U207" s="225"/>
      <c r="V207" s="225"/>
      <c r="W207" s="231"/>
      <c r="X207" s="231"/>
    </row>
    <row r="208" spans="1:24" x14ac:dyDescent="0.25">
      <c r="A208" s="109" t="s">
        <v>115</v>
      </c>
      <c r="B208" s="170" t="s">
        <v>72</v>
      </c>
      <c r="C208" s="21" t="s">
        <v>392</v>
      </c>
      <c r="D208" s="25">
        <v>12</v>
      </c>
      <c r="E208" s="18">
        <f>100*490</f>
        <v>49000</v>
      </c>
      <c r="F208" s="3">
        <f>D208*E208</f>
        <v>588000</v>
      </c>
      <c r="G208" s="53">
        <f>F208*C4</f>
        <v>2734.2</v>
      </c>
      <c r="H208" s="242"/>
      <c r="I208" s="242"/>
      <c r="J208" s="242"/>
      <c r="K208" s="242"/>
      <c r="L208" s="242"/>
      <c r="M208" s="242"/>
      <c r="N208" s="242"/>
      <c r="O208" s="242"/>
      <c r="P208" s="242"/>
      <c r="Q208" s="251"/>
      <c r="R208" s="262"/>
      <c r="S208" s="225">
        <f t="shared" si="7"/>
        <v>-588000</v>
      </c>
      <c r="T208" s="231">
        <f t="shared" si="8"/>
        <v>-1</v>
      </c>
      <c r="U208" s="225">
        <f t="shared" si="9"/>
        <v>0</v>
      </c>
      <c r="V208" s="225">
        <f t="shared" si="10"/>
        <v>-2734.2</v>
      </c>
      <c r="W208" s="231">
        <f t="shared" si="11"/>
        <v>-1</v>
      </c>
      <c r="X208" s="231"/>
    </row>
    <row r="209" spans="1:24" x14ac:dyDescent="0.25">
      <c r="A209" s="109" t="s">
        <v>116</v>
      </c>
      <c r="B209" s="170" t="s">
        <v>73</v>
      </c>
      <c r="C209" s="21" t="s">
        <v>392</v>
      </c>
      <c r="D209" s="25">
        <v>12</v>
      </c>
      <c r="E209" s="18">
        <f>200*490</f>
        <v>98000</v>
      </c>
      <c r="F209" s="3">
        <f>D209*E209</f>
        <v>1176000</v>
      </c>
      <c r="G209" s="53">
        <f>F209*C4</f>
        <v>5468.4</v>
      </c>
      <c r="H209" s="242"/>
      <c r="I209" s="242"/>
      <c r="J209" s="242"/>
      <c r="K209" s="242"/>
      <c r="L209" s="242"/>
      <c r="M209" s="242"/>
      <c r="N209" s="242"/>
      <c r="O209" s="242"/>
      <c r="P209" s="242"/>
      <c r="Q209" s="251"/>
      <c r="R209" s="262"/>
      <c r="S209" s="225">
        <f t="shared" si="7"/>
        <v>-1176000</v>
      </c>
      <c r="T209" s="231">
        <f t="shared" si="8"/>
        <v>-1</v>
      </c>
      <c r="U209" s="225">
        <f t="shared" si="9"/>
        <v>0</v>
      </c>
      <c r="V209" s="225">
        <f t="shared" si="10"/>
        <v>-5468.4</v>
      </c>
      <c r="W209" s="231">
        <f t="shared" si="11"/>
        <v>-1</v>
      </c>
      <c r="X209" s="231"/>
    </row>
    <row r="210" spans="1:24" x14ac:dyDescent="0.25">
      <c r="A210" s="109" t="s">
        <v>117</v>
      </c>
      <c r="B210" s="170" t="s">
        <v>74</v>
      </c>
      <c r="C210" s="21" t="s">
        <v>464</v>
      </c>
      <c r="D210" s="25">
        <v>1</v>
      </c>
      <c r="E210" s="18">
        <f>984*490</f>
        <v>482160</v>
      </c>
      <c r="F210" s="3">
        <f>D210*E210</f>
        <v>482160</v>
      </c>
      <c r="G210" s="53">
        <f>F210*C4</f>
        <v>2242.0439999999999</v>
      </c>
      <c r="H210" s="242"/>
      <c r="I210" s="242"/>
      <c r="J210" s="242"/>
      <c r="K210" s="242"/>
      <c r="L210" s="242"/>
      <c r="M210" s="242"/>
      <c r="N210" s="242"/>
      <c r="O210" s="242"/>
      <c r="P210" s="242"/>
      <c r="Q210" s="251"/>
      <c r="R210" s="262"/>
      <c r="S210" s="225">
        <f t="shared" si="7"/>
        <v>-482160</v>
      </c>
      <c r="T210" s="231">
        <f t="shared" si="8"/>
        <v>-1</v>
      </c>
      <c r="U210" s="225">
        <f t="shared" si="9"/>
        <v>0</v>
      </c>
      <c r="V210" s="225">
        <f t="shared" si="10"/>
        <v>-2242.0439999999999</v>
      </c>
      <c r="W210" s="231">
        <f t="shared" si="11"/>
        <v>-1</v>
      </c>
      <c r="X210" s="231"/>
    </row>
    <row r="211" spans="1:24" x14ac:dyDescent="0.25">
      <c r="A211" s="109" t="s">
        <v>118</v>
      </c>
      <c r="B211" s="170" t="s">
        <v>75</v>
      </c>
      <c r="C211" s="21" t="s">
        <v>464</v>
      </c>
      <c r="D211" s="25">
        <v>1</v>
      </c>
      <c r="E211" s="18">
        <f>500*490</f>
        <v>245000</v>
      </c>
      <c r="F211" s="3">
        <f>D211*E211</f>
        <v>245000</v>
      </c>
      <c r="G211" s="53">
        <f>F211*C4</f>
        <v>1139.25</v>
      </c>
      <c r="H211" s="242"/>
      <c r="I211" s="242"/>
      <c r="J211" s="242"/>
      <c r="K211" s="242"/>
      <c r="L211" s="242"/>
      <c r="M211" s="242"/>
      <c r="N211" s="242"/>
      <c r="O211" s="242"/>
      <c r="P211" s="242"/>
      <c r="Q211" s="251"/>
      <c r="R211" s="262"/>
      <c r="S211" s="225">
        <f t="shared" ref="S211:S252" si="13">R211-F211</f>
        <v>-245000</v>
      </c>
      <c r="T211" s="231">
        <f t="shared" ref="T211:T252" si="14">IF(F211=0,0,S211/F211)</f>
        <v>-1</v>
      </c>
      <c r="U211" s="225">
        <f t="shared" ref="U211:U252" si="15">R211*$C$4</f>
        <v>0</v>
      </c>
      <c r="V211" s="225">
        <f t="shared" ref="V211:V252" si="16">U211-G211</f>
        <v>-1139.25</v>
      </c>
      <c r="W211" s="231">
        <f t="shared" ref="W211:W252" si="17">IF(G211=0,0,V211/G211)</f>
        <v>-1</v>
      </c>
      <c r="X211" s="231"/>
    </row>
    <row r="212" spans="1:24" x14ac:dyDescent="0.25">
      <c r="A212" s="99"/>
      <c r="B212" s="170"/>
      <c r="C212" s="40"/>
      <c r="D212" s="41"/>
      <c r="E212" s="42"/>
      <c r="F212" s="3"/>
      <c r="G212" s="53"/>
      <c r="H212" s="242"/>
      <c r="I212" s="242"/>
      <c r="J212" s="242"/>
      <c r="K212" s="242"/>
      <c r="L212" s="242"/>
      <c r="M212" s="242"/>
      <c r="N212" s="242"/>
      <c r="O212" s="242"/>
      <c r="P212" s="242"/>
      <c r="Q212" s="251"/>
      <c r="R212" s="256"/>
      <c r="S212" s="225"/>
      <c r="T212" s="231"/>
      <c r="U212" s="225"/>
      <c r="V212" s="225"/>
      <c r="W212" s="231"/>
      <c r="X212" s="231"/>
    </row>
    <row r="213" spans="1:24" ht="13.8" thickBot="1" x14ac:dyDescent="0.3">
      <c r="A213" s="99"/>
      <c r="B213" s="146" t="s">
        <v>76</v>
      </c>
      <c r="C213" s="172"/>
      <c r="D213" s="171"/>
      <c r="E213" s="173"/>
      <c r="F213" s="50">
        <f>SUM(F208:F211)</f>
        <v>2491160</v>
      </c>
      <c r="G213" s="50">
        <f>SUM(G208:G211)</f>
        <v>11583.893999999998</v>
      </c>
      <c r="H213" s="244"/>
      <c r="I213" s="244"/>
      <c r="J213" s="244"/>
      <c r="K213" s="244"/>
      <c r="L213" s="244"/>
      <c r="M213" s="244"/>
      <c r="N213" s="244"/>
      <c r="O213" s="244"/>
      <c r="P213" s="244"/>
      <c r="Q213" s="253"/>
      <c r="R213" s="263"/>
      <c r="S213" s="237">
        <f t="shared" si="13"/>
        <v>-2491160</v>
      </c>
      <c r="T213" s="238">
        <f t="shared" si="14"/>
        <v>-1</v>
      </c>
      <c r="U213" s="237">
        <f t="shared" si="15"/>
        <v>0</v>
      </c>
      <c r="V213" s="237">
        <f t="shared" si="16"/>
        <v>-11583.893999999998</v>
      </c>
      <c r="W213" s="238">
        <f t="shared" si="17"/>
        <v>-1</v>
      </c>
      <c r="X213" s="238"/>
    </row>
    <row r="214" spans="1:24" ht="13.8" thickTop="1" x14ac:dyDescent="0.25">
      <c r="B214" s="174"/>
      <c r="F214" s="175"/>
      <c r="H214" s="242"/>
      <c r="I214" s="242"/>
      <c r="J214" s="242"/>
      <c r="K214" s="242"/>
      <c r="L214" s="242"/>
      <c r="M214" s="242"/>
      <c r="N214" s="242"/>
      <c r="O214" s="242"/>
      <c r="P214" s="242"/>
      <c r="Q214" s="251"/>
      <c r="R214" s="257"/>
      <c r="S214" s="225"/>
      <c r="T214" s="231"/>
      <c r="U214" s="225"/>
      <c r="V214" s="225"/>
      <c r="W214" s="231"/>
      <c r="X214" s="231"/>
    </row>
    <row r="215" spans="1:24" x14ac:dyDescent="0.25">
      <c r="A215" s="99" t="s">
        <v>119</v>
      </c>
      <c r="B215" s="99" t="s">
        <v>193</v>
      </c>
      <c r="C215" s="2"/>
      <c r="D215" s="142"/>
      <c r="E215" s="143"/>
      <c r="F215" s="3"/>
      <c r="G215" s="53"/>
      <c r="H215" s="242"/>
      <c r="I215" s="242"/>
      <c r="J215" s="242"/>
      <c r="K215" s="242"/>
      <c r="L215" s="242"/>
      <c r="M215" s="242"/>
      <c r="N215" s="242"/>
      <c r="O215" s="242"/>
      <c r="P215" s="242"/>
      <c r="Q215" s="251"/>
      <c r="R215" s="256"/>
      <c r="S215" s="225"/>
      <c r="T215" s="231"/>
      <c r="U215" s="225"/>
      <c r="V215" s="225"/>
      <c r="W215" s="231"/>
      <c r="X215" s="231"/>
    </row>
    <row r="216" spans="1:24" ht="39.6" x14ac:dyDescent="0.25">
      <c r="A216" s="109" t="s">
        <v>120</v>
      </c>
      <c r="B216" s="288" t="s">
        <v>790</v>
      </c>
      <c r="C216" s="21" t="s">
        <v>369</v>
      </c>
      <c r="D216" s="25">
        <v>2</v>
      </c>
      <c r="E216" s="21">
        <v>300000</v>
      </c>
      <c r="F216" s="3">
        <f>D216*E216</f>
        <v>600000</v>
      </c>
      <c r="G216" s="3">
        <f>F216*C4</f>
        <v>2789.9999999999995</v>
      </c>
      <c r="H216" s="242"/>
      <c r="I216" s="242"/>
      <c r="J216" s="242"/>
      <c r="K216" s="242"/>
      <c r="L216" s="242"/>
      <c r="M216" s="242"/>
      <c r="N216" s="242"/>
      <c r="O216" s="242"/>
      <c r="P216" s="242"/>
      <c r="Q216" s="251"/>
      <c r="R216" s="262"/>
      <c r="S216" s="225">
        <f t="shared" si="13"/>
        <v>-600000</v>
      </c>
      <c r="T216" s="231">
        <f t="shared" si="14"/>
        <v>-1</v>
      </c>
      <c r="U216" s="225">
        <f t="shared" si="15"/>
        <v>0</v>
      </c>
      <c r="V216" s="225">
        <f t="shared" si="16"/>
        <v>-2789.9999999999995</v>
      </c>
      <c r="W216" s="231">
        <f t="shared" si="17"/>
        <v>-1</v>
      </c>
      <c r="X216" s="231"/>
    </row>
    <row r="217" spans="1:24" hidden="1" x14ac:dyDescent="0.25">
      <c r="A217" s="109" t="s">
        <v>121</v>
      </c>
      <c r="B217" s="288" t="s">
        <v>130</v>
      </c>
      <c r="C217" s="21"/>
      <c r="D217" s="25"/>
      <c r="E217" s="21"/>
      <c r="F217" s="3">
        <f>D217*E217</f>
        <v>0</v>
      </c>
      <c r="G217" s="3">
        <f>F217*C4</f>
        <v>0</v>
      </c>
      <c r="H217" s="242"/>
      <c r="I217" s="242"/>
      <c r="J217" s="242"/>
      <c r="K217" s="242"/>
      <c r="L217" s="242"/>
      <c r="M217" s="242"/>
      <c r="N217" s="242"/>
      <c r="O217" s="242"/>
      <c r="P217" s="242"/>
      <c r="Q217" s="251"/>
      <c r="R217" s="262"/>
      <c r="S217" s="225">
        <f t="shared" si="13"/>
        <v>0</v>
      </c>
      <c r="T217" s="231">
        <f t="shared" si="14"/>
        <v>0</v>
      </c>
      <c r="U217" s="225">
        <f t="shared" si="15"/>
        <v>0</v>
      </c>
      <c r="V217" s="225">
        <f t="shared" si="16"/>
        <v>0</v>
      </c>
      <c r="W217" s="231">
        <f t="shared" si="17"/>
        <v>0</v>
      </c>
      <c r="X217" s="231"/>
    </row>
    <row r="218" spans="1:24" hidden="1" x14ac:dyDescent="0.25">
      <c r="A218" s="109" t="s">
        <v>122</v>
      </c>
      <c r="B218" s="288" t="s">
        <v>128</v>
      </c>
      <c r="C218" s="21"/>
      <c r="D218" s="25"/>
      <c r="E218" s="21"/>
      <c r="F218" s="3">
        <f>D218*E218</f>
        <v>0</v>
      </c>
      <c r="G218" s="3">
        <f>F218*C4</f>
        <v>0</v>
      </c>
      <c r="H218" s="242"/>
      <c r="I218" s="242"/>
      <c r="J218" s="242"/>
      <c r="K218" s="242"/>
      <c r="L218" s="242"/>
      <c r="M218" s="242"/>
      <c r="N218" s="242"/>
      <c r="O218" s="242"/>
      <c r="P218" s="242"/>
      <c r="Q218" s="251"/>
      <c r="R218" s="262"/>
      <c r="S218" s="225">
        <f t="shared" si="13"/>
        <v>0</v>
      </c>
      <c r="T218" s="231">
        <f t="shared" si="14"/>
        <v>0</v>
      </c>
      <c r="U218" s="225">
        <f t="shared" si="15"/>
        <v>0</v>
      </c>
      <c r="V218" s="225">
        <f t="shared" si="16"/>
        <v>0</v>
      </c>
      <c r="W218" s="231">
        <f t="shared" si="17"/>
        <v>0</v>
      </c>
      <c r="X218" s="231"/>
    </row>
    <row r="219" spans="1:24" ht="26.4" x14ac:dyDescent="0.25">
      <c r="A219" s="109" t="s">
        <v>123</v>
      </c>
      <c r="B219" s="288" t="s">
        <v>789</v>
      </c>
      <c r="C219" s="21" t="s">
        <v>608</v>
      </c>
      <c r="D219" s="25">
        <v>1</v>
      </c>
      <c r="E219" s="21">
        <v>350000</v>
      </c>
      <c r="F219" s="3">
        <f>D219*E219</f>
        <v>350000</v>
      </c>
      <c r="G219" s="3">
        <f>F219*C4</f>
        <v>1627.4999999999998</v>
      </c>
      <c r="H219" s="242"/>
      <c r="I219" s="242"/>
      <c r="J219" s="242"/>
      <c r="K219" s="242"/>
      <c r="L219" s="242"/>
      <c r="M219" s="242"/>
      <c r="N219" s="242"/>
      <c r="O219" s="242"/>
      <c r="P219" s="242"/>
      <c r="Q219" s="251"/>
      <c r="R219" s="262"/>
      <c r="S219" s="225">
        <f t="shared" si="13"/>
        <v>-350000</v>
      </c>
      <c r="T219" s="231">
        <f t="shared" si="14"/>
        <v>-1</v>
      </c>
      <c r="U219" s="225">
        <f t="shared" si="15"/>
        <v>0</v>
      </c>
      <c r="V219" s="225">
        <f t="shared" si="16"/>
        <v>-1627.4999999999998</v>
      </c>
      <c r="W219" s="231">
        <f t="shared" si="17"/>
        <v>-1</v>
      </c>
      <c r="X219" s="231"/>
    </row>
    <row r="220" spans="1:24" x14ac:dyDescent="0.25">
      <c r="A220" s="99"/>
      <c r="B220" s="170"/>
      <c r="C220" s="40"/>
      <c r="D220" s="41"/>
      <c r="E220" s="42"/>
      <c r="F220" s="3"/>
      <c r="G220" s="53"/>
      <c r="H220" s="242"/>
      <c r="I220" s="242"/>
      <c r="J220" s="242"/>
      <c r="K220" s="242"/>
      <c r="L220" s="242"/>
      <c r="M220" s="242"/>
      <c r="N220" s="242"/>
      <c r="O220" s="242"/>
      <c r="P220" s="242"/>
      <c r="Q220" s="251"/>
      <c r="R220" s="256"/>
      <c r="S220" s="225"/>
      <c r="T220" s="231"/>
      <c r="U220" s="225"/>
      <c r="V220" s="225"/>
      <c r="W220" s="231"/>
      <c r="X220" s="231"/>
    </row>
    <row r="221" spans="1:24" ht="13.8" thickBot="1" x14ac:dyDescent="0.3">
      <c r="A221" s="99"/>
      <c r="B221" s="146" t="s">
        <v>194</v>
      </c>
      <c r="C221" s="172"/>
      <c r="D221" s="171"/>
      <c r="E221" s="173"/>
      <c r="F221" s="50">
        <f>SUM(F216:F219)</f>
        <v>950000</v>
      </c>
      <c r="G221" s="50">
        <f>SUM(G216:G219)</f>
        <v>4417.4999999999991</v>
      </c>
      <c r="H221" s="244"/>
      <c r="I221" s="244"/>
      <c r="J221" s="244"/>
      <c r="K221" s="244"/>
      <c r="L221" s="244"/>
      <c r="M221" s="244"/>
      <c r="N221" s="244"/>
      <c r="O221" s="244"/>
      <c r="P221" s="244"/>
      <c r="Q221" s="253"/>
      <c r="R221" s="263"/>
      <c r="S221" s="237">
        <f t="shared" si="13"/>
        <v>-950000</v>
      </c>
      <c r="T221" s="238">
        <f t="shared" si="14"/>
        <v>-1</v>
      </c>
      <c r="U221" s="237">
        <f t="shared" si="15"/>
        <v>0</v>
      </c>
      <c r="V221" s="237">
        <f t="shared" si="16"/>
        <v>-4417.4999999999991</v>
      </c>
      <c r="W221" s="238">
        <f t="shared" si="17"/>
        <v>-1</v>
      </c>
      <c r="X221" s="238"/>
    </row>
    <row r="222" spans="1:24" ht="13.8" thickTop="1" x14ac:dyDescent="0.25">
      <c r="B222" s="174"/>
      <c r="F222" s="175"/>
      <c r="H222" s="242"/>
      <c r="I222" s="242"/>
      <c r="J222" s="242"/>
      <c r="K222" s="242"/>
      <c r="L222" s="242"/>
      <c r="M222" s="242"/>
      <c r="N222" s="242"/>
      <c r="O222" s="242"/>
      <c r="P222" s="242"/>
      <c r="Q222" s="251"/>
      <c r="R222" s="257"/>
      <c r="S222" s="225"/>
      <c r="T222" s="231"/>
      <c r="U222" s="225"/>
      <c r="V222" s="225"/>
      <c r="W222" s="231"/>
      <c r="X222" s="231"/>
    </row>
    <row r="223" spans="1:24" hidden="1" x14ac:dyDescent="0.25">
      <c r="A223" s="99" t="s">
        <v>157</v>
      </c>
      <c r="B223" s="99" t="s">
        <v>156</v>
      </c>
      <c r="C223" s="2"/>
      <c r="D223" s="142"/>
      <c r="E223" s="143"/>
      <c r="F223" s="3"/>
      <c r="G223" s="53"/>
      <c r="H223" s="242"/>
      <c r="I223" s="242"/>
      <c r="J223" s="242"/>
      <c r="K223" s="242"/>
      <c r="L223" s="242"/>
      <c r="M223" s="242"/>
      <c r="N223" s="242"/>
      <c r="O223" s="242"/>
      <c r="P223" s="242"/>
      <c r="Q223" s="251"/>
      <c r="R223" s="256"/>
      <c r="S223" s="225"/>
      <c r="T223" s="231"/>
      <c r="U223" s="225"/>
      <c r="V223" s="225"/>
      <c r="W223" s="231"/>
      <c r="X223" s="231"/>
    </row>
    <row r="224" spans="1:24" hidden="1" x14ac:dyDescent="0.25">
      <c r="A224" s="109" t="s">
        <v>162</v>
      </c>
      <c r="B224" s="170" t="s">
        <v>294</v>
      </c>
      <c r="C224" s="35"/>
      <c r="D224" s="36"/>
      <c r="E224" s="39"/>
      <c r="F224" s="3">
        <f>D224*E224</f>
        <v>0</v>
      </c>
      <c r="G224" s="53">
        <f>F224*C4</f>
        <v>0</v>
      </c>
      <c r="H224" s="242"/>
      <c r="I224" s="242"/>
      <c r="J224" s="242"/>
      <c r="K224" s="242"/>
      <c r="L224" s="242"/>
      <c r="M224" s="242"/>
      <c r="N224" s="242"/>
      <c r="O224" s="242"/>
      <c r="P224" s="242"/>
      <c r="Q224" s="251"/>
      <c r="R224" s="262"/>
      <c r="S224" s="225">
        <f t="shared" si="13"/>
        <v>0</v>
      </c>
      <c r="T224" s="231">
        <f t="shared" si="14"/>
        <v>0</v>
      </c>
      <c r="U224" s="225">
        <f t="shared" si="15"/>
        <v>0</v>
      </c>
      <c r="V224" s="225">
        <f t="shared" si="16"/>
        <v>0</v>
      </c>
      <c r="W224" s="231">
        <f t="shared" si="17"/>
        <v>0</v>
      </c>
      <c r="X224" s="231"/>
    </row>
    <row r="225" spans="1:24" hidden="1" x14ac:dyDescent="0.25">
      <c r="A225" s="109" t="s">
        <v>163</v>
      </c>
      <c r="B225" s="170" t="s">
        <v>159</v>
      </c>
      <c r="C225" s="35"/>
      <c r="D225" s="36"/>
      <c r="E225" s="39"/>
      <c r="F225" s="3">
        <f>D225*E225</f>
        <v>0</v>
      </c>
      <c r="G225" s="53">
        <f>F225*C4</f>
        <v>0</v>
      </c>
      <c r="H225" s="242"/>
      <c r="I225" s="242"/>
      <c r="J225" s="242"/>
      <c r="K225" s="242"/>
      <c r="L225" s="242"/>
      <c r="M225" s="242"/>
      <c r="N225" s="242"/>
      <c r="O225" s="242"/>
      <c r="P225" s="242"/>
      <c r="Q225" s="251"/>
      <c r="R225" s="262"/>
      <c r="S225" s="225">
        <f t="shared" si="13"/>
        <v>0</v>
      </c>
      <c r="T225" s="231">
        <f t="shared" si="14"/>
        <v>0</v>
      </c>
      <c r="U225" s="225">
        <f t="shared" si="15"/>
        <v>0</v>
      </c>
      <c r="V225" s="225">
        <f t="shared" si="16"/>
        <v>0</v>
      </c>
      <c r="W225" s="231">
        <f t="shared" si="17"/>
        <v>0</v>
      </c>
      <c r="X225" s="231"/>
    </row>
    <row r="226" spans="1:24" hidden="1" x14ac:dyDescent="0.25">
      <c r="A226" s="109" t="s">
        <v>164</v>
      </c>
      <c r="B226" s="170" t="s">
        <v>160</v>
      </c>
      <c r="C226" s="35"/>
      <c r="D226" s="36"/>
      <c r="E226" s="39"/>
      <c r="F226" s="3">
        <f>D226*E226</f>
        <v>0</v>
      </c>
      <c r="G226" s="53">
        <f>F226*C4</f>
        <v>0</v>
      </c>
      <c r="H226" s="242"/>
      <c r="I226" s="242"/>
      <c r="J226" s="242"/>
      <c r="K226" s="242"/>
      <c r="L226" s="242"/>
      <c r="M226" s="242"/>
      <c r="N226" s="242"/>
      <c r="O226" s="242"/>
      <c r="P226" s="242"/>
      <c r="Q226" s="251"/>
      <c r="R226" s="262"/>
      <c r="S226" s="225">
        <f t="shared" si="13"/>
        <v>0</v>
      </c>
      <c r="T226" s="231">
        <f t="shared" si="14"/>
        <v>0</v>
      </c>
      <c r="U226" s="225">
        <f t="shared" si="15"/>
        <v>0</v>
      </c>
      <c r="V226" s="225">
        <f t="shared" si="16"/>
        <v>0</v>
      </c>
      <c r="W226" s="231">
        <f t="shared" si="17"/>
        <v>0</v>
      </c>
      <c r="X226" s="231"/>
    </row>
    <row r="227" spans="1:24" hidden="1" x14ac:dyDescent="0.25">
      <c r="A227" s="99"/>
      <c r="B227" s="170"/>
      <c r="C227" s="40"/>
      <c r="D227" s="41"/>
      <c r="E227" s="42"/>
      <c r="F227" s="3"/>
      <c r="G227" s="53"/>
      <c r="H227" s="242"/>
      <c r="I227" s="242"/>
      <c r="J227" s="242"/>
      <c r="K227" s="242"/>
      <c r="L227" s="242"/>
      <c r="M227" s="242"/>
      <c r="N227" s="242"/>
      <c r="O227" s="242"/>
      <c r="P227" s="242"/>
      <c r="Q227" s="251"/>
      <c r="R227" s="256"/>
      <c r="S227" s="237"/>
      <c r="T227" s="238"/>
      <c r="U227" s="237"/>
      <c r="V227" s="237"/>
      <c r="W227" s="238"/>
      <c r="X227" s="238"/>
    </row>
    <row r="228" spans="1:24" ht="13.8" hidden="1" thickBot="1" x14ac:dyDescent="0.3">
      <c r="A228" s="99"/>
      <c r="B228" s="146" t="s">
        <v>161</v>
      </c>
      <c r="C228" s="172"/>
      <c r="D228" s="171"/>
      <c r="E228" s="173"/>
      <c r="F228" s="50">
        <f>SUM(F224:F226)</f>
        <v>0</v>
      </c>
      <c r="G228" s="50">
        <f>SUM(G224:G226)</f>
        <v>0</v>
      </c>
      <c r="H228" s="244"/>
      <c r="I228" s="244"/>
      <c r="J228" s="244"/>
      <c r="K228" s="244"/>
      <c r="L228" s="244"/>
      <c r="M228" s="244"/>
      <c r="N228" s="244"/>
      <c r="O228" s="244"/>
      <c r="P228" s="244"/>
      <c r="Q228" s="253"/>
      <c r="R228" s="263"/>
      <c r="S228" s="237">
        <f t="shared" si="13"/>
        <v>0</v>
      </c>
      <c r="T228" s="238">
        <f t="shared" si="14"/>
        <v>0</v>
      </c>
      <c r="U228" s="237">
        <f t="shared" si="15"/>
        <v>0</v>
      </c>
      <c r="V228" s="237">
        <f t="shared" si="16"/>
        <v>0</v>
      </c>
      <c r="W228" s="238">
        <f t="shared" si="17"/>
        <v>0</v>
      </c>
      <c r="X228" s="238"/>
    </row>
    <row r="229" spans="1:24" ht="13.8" hidden="1" thickTop="1" x14ac:dyDescent="0.25">
      <c r="A229" s="99"/>
      <c r="B229" s="146"/>
      <c r="C229" s="172"/>
      <c r="D229" s="171"/>
      <c r="E229" s="173"/>
      <c r="F229" s="169"/>
      <c r="G229" s="169"/>
      <c r="H229" s="244"/>
      <c r="I229" s="244"/>
      <c r="J229" s="244"/>
      <c r="K229" s="244"/>
      <c r="L229" s="244"/>
      <c r="M229" s="244"/>
      <c r="N229" s="244"/>
      <c r="O229" s="244"/>
      <c r="P229" s="244"/>
      <c r="Q229" s="253"/>
      <c r="R229" s="263"/>
      <c r="S229" s="237"/>
      <c r="T229" s="238"/>
      <c r="U229" s="237"/>
      <c r="V229" s="237"/>
      <c r="W229" s="238"/>
      <c r="X229" s="238"/>
    </row>
    <row r="230" spans="1:24" x14ac:dyDescent="0.25">
      <c r="A230" s="99" t="s">
        <v>310</v>
      </c>
      <c r="B230" s="146" t="s">
        <v>313</v>
      </c>
      <c r="C230" s="172"/>
      <c r="D230" s="171"/>
      <c r="E230" s="173"/>
      <c r="F230" s="169"/>
      <c r="G230" s="169"/>
      <c r="H230" s="244"/>
      <c r="I230" s="244"/>
      <c r="J230" s="244"/>
      <c r="K230" s="244"/>
      <c r="L230" s="244"/>
      <c r="M230" s="244"/>
      <c r="N230" s="244"/>
      <c r="O230" s="244"/>
      <c r="P230" s="244"/>
      <c r="Q230" s="253"/>
      <c r="R230" s="263"/>
      <c r="S230" s="237"/>
      <c r="T230" s="238"/>
      <c r="U230" s="237"/>
      <c r="V230" s="237"/>
      <c r="W230" s="238"/>
      <c r="X230" s="238"/>
    </row>
    <row r="231" spans="1:24" x14ac:dyDescent="0.25">
      <c r="A231" s="109" t="s">
        <v>315</v>
      </c>
      <c r="B231" s="157" t="s">
        <v>314</v>
      </c>
      <c r="C231" s="172"/>
      <c r="D231" s="171"/>
      <c r="E231" s="173">
        <f ca="1">F255/1.03*3%</f>
        <v>16655841.809999995</v>
      </c>
      <c r="F231" s="169">
        <f ca="1">E231</f>
        <v>16655841.809999995</v>
      </c>
      <c r="G231" s="169">
        <f ca="1">F231*C4</f>
        <v>77449.664416499974</v>
      </c>
      <c r="H231" s="244"/>
      <c r="I231" s="244"/>
      <c r="J231" s="244"/>
      <c r="K231" s="244"/>
      <c r="L231" s="244"/>
      <c r="M231" s="244"/>
      <c r="N231" s="244"/>
      <c r="O231" s="244"/>
      <c r="P231" s="244"/>
      <c r="Q231" s="253"/>
      <c r="R231" s="263" t="e">
        <f>#REF!/1.03*3%</f>
        <v>#REF!</v>
      </c>
      <c r="S231" s="237"/>
      <c r="T231" s="238"/>
      <c r="U231" s="237" t="e">
        <f>R231*C4</f>
        <v>#REF!</v>
      </c>
      <c r="V231" s="237"/>
      <c r="W231" s="238"/>
      <c r="X231" s="238"/>
    </row>
    <row r="232" spans="1:24" x14ac:dyDescent="0.25">
      <c r="A232" s="109"/>
      <c r="B232" s="157"/>
      <c r="C232" s="172"/>
      <c r="D232" s="171"/>
      <c r="E232" s="173"/>
      <c r="F232" s="169"/>
      <c r="G232" s="169"/>
      <c r="H232" s="244"/>
      <c r="I232" s="244"/>
      <c r="J232" s="244"/>
      <c r="K232" s="244"/>
      <c r="L232" s="244"/>
      <c r="M232" s="244"/>
      <c r="N232" s="244"/>
      <c r="O232" s="244"/>
      <c r="P232" s="244"/>
      <c r="Q232" s="253"/>
      <c r="R232" s="263"/>
      <c r="S232" s="237"/>
      <c r="T232" s="238"/>
      <c r="U232" s="237"/>
      <c r="V232" s="237"/>
      <c r="W232" s="238"/>
      <c r="X232" s="238"/>
    </row>
    <row r="233" spans="1:24" ht="13.8" thickBot="1" x14ac:dyDescent="0.3">
      <c r="A233" s="99"/>
      <c r="B233" s="146" t="s">
        <v>316</v>
      </c>
      <c r="C233" s="172"/>
      <c r="D233" s="171"/>
      <c r="E233" s="173"/>
      <c r="F233" s="50">
        <f ca="1">F231</f>
        <v>16655841.809999995</v>
      </c>
      <c r="G233" s="50">
        <f ca="1">G231</f>
        <v>77449.664416499974</v>
      </c>
      <c r="H233" s="267"/>
      <c r="I233" s="244"/>
      <c r="J233" s="244"/>
      <c r="K233" s="244"/>
      <c r="L233" s="244"/>
      <c r="M233" s="244"/>
      <c r="N233" s="244"/>
      <c r="O233" s="244"/>
      <c r="P233" s="244"/>
      <c r="Q233" s="253"/>
      <c r="R233" s="263"/>
      <c r="S233" s="237"/>
      <c r="T233" s="238"/>
      <c r="U233" s="237"/>
      <c r="V233" s="237"/>
      <c r="W233" s="238"/>
      <c r="X233" s="238"/>
    </row>
    <row r="234" spans="1:24" ht="13.8" thickTop="1" x14ac:dyDescent="0.25">
      <c r="A234" s="99"/>
      <c r="B234" s="146"/>
      <c r="C234" s="118"/>
      <c r="D234" s="122"/>
      <c r="E234" s="123"/>
      <c r="F234" s="169"/>
      <c r="G234" s="169"/>
      <c r="H234" s="244"/>
      <c r="I234" s="244"/>
      <c r="J234" s="244"/>
      <c r="K234" s="244"/>
      <c r="L234" s="244"/>
      <c r="M234" s="244"/>
      <c r="N234" s="244"/>
      <c r="O234" s="244"/>
      <c r="P234" s="244"/>
      <c r="Q234" s="253"/>
      <c r="R234" s="259"/>
      <c r="S234" s="225"/>
      <c r="T234" s="231"/>
      <c r="U234" s="225"/>
      <c r="V234" s="225"/>
      <c r="W234" s="231"/>
      <c r="X234" s="231"/>
    </row>
    <row r="235" spans="1:24" x14ac:dyDescent="0.25">
      <c r="A235" s="99"/>
      <c r="B235" s="146"/>
      <c r="C235" s="118"/>
      <c r="D235" s="122"/>
      <c r="E235" s="123"/>
      <c r="F235" s="169"/>
      <c r="G235" s="169"/>
      <c r="H235" s="244"/>
      <c r="I235" s="244"/>
      <c r="J235" s="244"/>
      <c r="K235" s="244"/>
      <c r="L235" s="244"/>
      <c r="M235" s="244"/>
      <c r="N235" s="244"/>
      <c r="O235" s="244"/>
      <c r="P235" s="244"/>
      <c r="Q235" s="253"/>
      <c r="R235" s="259"/>
      <c r="S235" s="225"/>
      <c r="T235" s="231"/>
      <c r="U235" s="225"/>
      <c r="V235" s="225"/>
      <c r="W235" s="231"/>
      <c r="X235" s="231"/>
    </row>
    <row r="236" spans="1:24" ht="13.8" thickBot="1" x14ac:dyDescent="0.3">
      <c r="A236" s="176"/>
      <c r="B236" s="177" t="s">
        <v>49</v>
      </c>
      <c r="C236" s="179"/>
      <c r="D236" s="178"/>
      <c r="E236" s="180"/>
      <c r="F236" s="54">
        <f ca="1">SUM(F100+F164+F176+F195+F204+F213+F221+F228+F233)</f>
        <v>548226910.80999994</v>
      </c>
      <c r="G236" s="54">
        <f ca="1">F236*C4</f>
        <v>2549255.1352664996</v>
      </c>
      <c r="H236" s="244"/>
      <c r="I236" s="244"/>
      <c r="J236" s="244"/>
      <c r="K236" s="244"/>
      <c r="L236" s="244"/>
      <c r="M236" s="244"/>
      <c r="N236" s="244"/>
      <c r="O236" s="244"/>
      <c r="P236" s="244"/>
      <c r="Q236" s="253"/>
      <c r="R236" s="263"/>
      <c r="S236" s="226">
        <f t="shared" ca="1" si="13"/>
        <v>-548226910.80999994</v>
      </c>
      <c r="T236" s="236">
        <f t="shared" ca="1" si="14"/>
        <v>-1</v>
      </c>
      <c r="U236" s="226">
        <f t="shared" si="15"/>
        <v>0</v>
      </c>
      <c r="V236" s="226">
        <f t="shared" ca="1" si="16"/>
        <v>-2549255.1352664996</v>
      </c>
      <c r="W236" s="236">
        <f t="shared" ca="1" si="17"/>
        <v>-1</v>
      </c>
      <c r="X236" s="236"/>
    </row>
    <row r="237" spans="1:24" ht="13.8" thickTop="1" x14ac:dyDescent="0.25">
      <c r="B237" s="87"/>
      <c r="F237" s="48"/>
      <c r="H237" s="242"/>
      <c r="I237" s="242"/>
      <c r="J237" s="242"/>
      <c r="K237" s="242"/>
      <c r="L237" s="242"/>
      <c r="M237" s="242"/>
      <c r="N237" s="242"/>
      <c r="O237" s="242"/>
      <c r="P237" s="242"/>
      <c r="Q237" s="251"/>
      <c r="R237" s="257"/>
      <c r="S237" s="225"/>
      <c r="T237" s="231"/>
      <c r="U237" s="225"/>
      <c r="V237" s="225"/>
      <c r="W237" s="231"/>
      <c r="X237" s="231"/>
    </row>
    <row r="238" spans="1:24" x14ac:dyDescent="0.25">
      <c r="A238" s="70" t="s">
        <v>57</v>
      </c>
      <c r="F238" s="48"/>
      <c r="H238" s="242"/>
      <c r="I238" s="242"/>
      <c r="J238" s="242"/>
      <c r="K238" s="242"/>
      <c r="L238" s="242"/>
      <c r="M238" s="242"/>
      <c r="N238" s="242"/>
      <c r="O238" s="242"/>
      <c r="P238" s="242"/>
      <c r="Q238" s="251"/>
      <c r="R238" s="257"/>
      <c r="S238" s="225"/>
      <c r="T238" s="231"/>
      <c r="U238" s="225"/>
      <c r="V238" s="225"/>
      <c r="W238" s="231"/>
      <c r="X238" s="231"/>
    </row>
    <row r="239" spans="1:24" x14ac:dyDescent="0.25">
      <c r="A239" s="70" t="s">
        <v>18</v>
      </c>
      <c r="B239" s="181" t="s">
        <v>9</v>
      </c>
      <c r="F239" s="48"/>
      <c r="H239" s="242"/>
      <c r="I239" s="242"/>
      <c r="J239" s="242"/>
      <c r="K239" s="242"/>
      <c r="L239" s="242"/>
      <c r="M239" s="242"/>
      <c r="N239" s="242"/>
      <c r="O239" s="242"/>
      <c r="P239" s="242"/>
      <c r="Q239" s="251"/>
      <c r="R239" s="257"/>
      <c r="S239" s="225"/>
      <c r="T239" s="231"/>
      <c r="U239" s="225"/>
      <c r="V239" s="225"/>
      <c r="W239" s="231"/>
      <c r="X239" s="231"/>
    </row>
    <row r="240" spans="1:24" x14ac:dyDescent="0.25">
      <c r="B240" s="137" t="s">
        <v>609</v>
      </c>
      <c r="C240" s="21" t="s">
        <v>392</v>
      </c>
      <c r="D240" s="25">
        <v>12</v>
      </c>
      <c r="E240" s="18">
        <v>129032</v>
      </c>
      <c r="F240" s="48">
        <f>D240*E240</f>
        <v>1548384</v>
      </c>
      <c r="G240" s="49">
        <f>F240*C4</f>
        <v>7199.9855999999991</v>
      </c>
      <c r="H240" s="242"/>
      <c r="I240" s="242"/>
      <c r="J240" s="242"/>
      <c r="K240" s="242"/>
      <c r="L240" s="242"/>
      <c r="M240" s="242"/>
      <c r="N240" s="242"/>
      <c r="O240" s="242"/>
      <c r="P240" s="242"/>
      <c r="Q240" s="251"/>
      <c r="R240" s="262"/>
      <c r="S240" s="225">
        <f t="shared" si="13"/>
        <v>-1548384</v>
      </c>
      <c r="T240" s="231">
        <f t="shared" si="14"/>
        <v>-1</v>
      </c>
      <c r="U240" s="225">
        <f t="shared" si="15"/>
        <v>0</v>
      </c>
      <c r="V240" s="225">
        <f t="shared" si="16"/>
        <v>-7199.9855999999991</v>
      </c>
      <c r="W240" s="231">
        <f t="shared" si="17"/>
        <v>-1</v>
      </c>
      <c r="X240" s="231"/>
    </row>
    <row r="241" spans="1:25" x14ac:dyDescent="0.25">
      <c r="B241" s="137" t="s">
        <v>610</v>
      </c>
      <c r="C241" s="21" t="s">
        <v>392</v>
      </c>
      <c r="D241" s="25">
        <v>12</v>
      </c>
      <c r="E241" s="18">
        <v>215053</v>
      </c>
      <c r="F241" s="48">
        <f>D241*E241</f>
        <v>2580636</v>
      </c>
      <c r="G241" s="49">
        <f>F241*C4</f>
        <v>11999.957399999999</v>
      </c>
      <c r="H241" s="242"/>
      <c r="I241" s="242"/>
      <c r="J241" s="242"/>
      <c r="K241" s="242"/>
      <c r="L241" s="242"/>
      <c r="M241" s="242"/>
      <c r="N241" s="242"/>
      <c r="O241" s="242"/>
      <c r="P241" s="242"/>
      <c r="Q241" s="251"/>
      <c r="R241" s="262"/>
      <c r="S241" s="225">
        <f t="shared" si="13"/>
        <v>-2580636</v>
      </c>
      <c r="T241" s="231">
        <f t="shared" si="14"/>
        <v>-1</v>
      </c>
      <c r="U241" s="225">
        <f t="shared" si="15"/>
        <v>0</v>
      </c>
      <c r="V241" s="225">
        <f t="shared" si="16"/>
        <v>-11999.957399999999</v>
      </c>
      <c r="W241" s="231">
        <f t="shared" si="17"/>
        <v>-1</v>
      </c>
      <c r="X241" s="231"/>
    </row>
    <row r="242" spans="1:25" x14ac:dyDescent="0.25">
      <c r="B242" s="137" t="s">
        <v>611</v>
      </c>
      <c r="C242" s="21" t="s">
        <v>392</v>
      </c>
      <c r="D242" s="25">
        <v>12</v>
      </c>
      <c r="E242" s="18">
        <v>96774</v>
      </c>
      <c r="F242" s="48">
        <f>D242*E242</f>
        <v>1161288</v>
      </c>
      <c r="G242" s="49">
        <f>F242*C4</f>
        <v>5399.9892</v>
      </c>
      <c r="H242" s="242"/>
      <c r="I242" s="242"/>
      <c r="J242" s="242"/>
      <c r="K242" s="242"/>
      <c r="L242" s="242"/>
      <c r="M242" s="242"/>
      <c r="N242" s="242"/>
      <c r="O242" s="242"/>
      <c r="P242" s="242"/>
      <c r="Q242" s="251"/>
      <c r="R242" s="262"/>
      <c r="S242" s="225">
        <f t="shared" si="13"/>
        <v>-1161288</v>
      </c>
      <c r="T242" s="231">
        <f t="shared" si="14"/>
        <v>-1</v>
      </c>
      <c r="U242" s="225">
        <f t="shared" si="15"/>
        <v>0</v>
      </c>
      <c r="V242" s="225">
        <f t="shared" si="16"/>
        <v>-5399.9892</v>
      </c>
      <c r="W242" s="231">
        <f t="shared" si="17"/>
        <v>-1</v>
      </c>
      <c r="X242" s="231"/>
    </row>
    <row r="243" spans="1:25" x14ac:dyDescent="0.25">
      <c r="B243" s="137" t="s">
        <v>35</v>
      </c>
      <c r="C243" s="6"/>
      <c r="D243" s="7"/>
      <c r="E243" s="8"/>
      <c r="F243" s="48"/>
      <c r="H243" s="242"/>
      <c r="I243" s="242"/>
      <c r="J243" s="242"/>
      <c r="K243" s="242"/>
      <c r="L243" s="242"/>
      <c r="M243" s="242"/>
      <c r="N243" s="242"/>
      <c r="O243" s="242"/>
      <c r="P243" s="242"/>
      <c r="Q243" s="251"/>
      <c r="R243" s="257"/>
      <c r="S243" s="225"/>
      <c r="T243" s="231"/>
      <c r="U243" s="225"/>
      <c r="V243" s="225"/>
      <c r="W243" s="231"/>
      <c r="X243" s="231"/>
    </row>
    <row r="244" spans="1:25" x14ac:dyDescent="0.25">
      <c r="B244" s="137" t="s">
        <v>36</v>
      </c>
      <c r="C244" s="21" t="s">
        <v>392</v>
      </c>
      <c r="D244" s="25">
        <v>12</v>
      </c>
      <c r="E244" s="18">
        <f>1400*490</f>
        <v>686000</v>
      </c>
      <c r="F244" s="48">
        <f>D244*E244</f>
        <v>8232000</v>
      </c>
      <c r="G244" s="49">
        <f>F244*C4</f>
        <v>38278.799999999996</v>
      </c>
      <c r="H244" s="242"/>
      <c r="I244" s="242"/>
      <c r="J244" s="242"/>
      <c r="K244" s="242"/>
      <c r="L244" s="242"/>
      <c r="M244" s="242"/>
      <c r="N244" s="242"/>
      <c r="O244" s="242"/>
      <c r="P244" s="242"/>
      <c r="Q244" s="251"/>
      <c r="R244" s="262"/>
      <c r="S244" s="225">
        <f t="shared" si="13"/>
        <v>-8232000</v>
      </c>
      <c r="T244" s="231">
        <f t="shared" si="14"/>
        <v>-1</v>
      </c>
      <c r="U244" s="225">
        <f t="shared" si="15"/>
        <v>0</v>
      </c>
      <c r="V244" s="225">
        <f t="shared" si="16"/>
        <v>-38278.799999999996</v>
      </c>
      <c r="W244" s="231">
        <f t="shared" si="17"/>
        <v>-1</v>
      </c>
      <c r="X244" s="231"/>
    </row>
    <row r="245" spans="1:25" x14ac:dyDescent="0.25">
      <c r="B245" s="137" t="s">
        <v>37</v>
      </c>
      <c r="C245" s="21" t="s">
        <v>392</v>
      </c>
      <c r="D245" s="25">
        <v>12</v>
      </c>
      <c r="E245" s="18">
        <f>535*490</f>
        <v>262150</v>
      </c>
      <c r="F245" s="48">
        <f>D245*E245</f>
        <v>3145800</v>
      </c>
      <c r="G245" s="49">
        <f>F245*C4</f>
        <v>14627.97</v>
      </c>
      <c r="H245" s="242"/>
      <c r="I245" s="242"/>
      <c r="J245" s="242"/>
      <c r="K245" s="242"/>
      <c r="L245" s="242"/>
      <c r="M245" s="242"/>
      <c r="N245" s="242"/>
      <c r="O245" s="242"/>
      <c r="P245" s="242"/>
      <c r="Q245" s="251"/>
      <c r="R245" s="262"/>
      <c r="S245" s="225">
        <f t="shared" si="13"/>
        <v>-3145800</v>
      </c>
      <c r="T245" s="231">
        <f t="shared" si="14"/>
        <v>-1</v>
      </c>
      <c r="U245" s="225">
        <f t="shared" si="15"/>
        <v>0</v>
      </c>
      <c r="V245" s="225">
        <f t="shared" si="16"/>
        <v>-14627.97</v>
      </c>
      <c r="W245" s="231">
        <f t="shared" si="17"/>
        <v>-1</v>
      </c>
      <c r="X245" s="231"/>
    </row>
    <row r="246" spans="1:25" x14ac:dyDescent="0.25">
      <c r="B246" s="137" t="s">
        <v>38</v>
      </c>
      <c r="C246" s="21" t="s">
        <v>392</v>
      </c>
      <c r="D246" s="25">
        <v>12</v>
      </c>
      <c r="E246" s="18">
        <f>500*490</f>
        <v>245000</v>
      </c>
      <c r="F246" s="48">
        <f>D246*E246</f>
        <v>2940000</v>
      </c>
      <c r="G246" s="49">
        <f>F246*C4</f>
        <v>13670.999999999998</v>
      </c>
      <c r="H246" s="242"/>
      <c r="I246" s="242"/>
      <c r="J246" s="242"/>
      <c r="K246" s="242"/>
      <c r="L246" s="242"/>
      <c r="M246" s="242"/>
      <c r="N246" s="242"/>
      <c r="O246" s="242"/>
      <c r="P246" s="242"/>
      <c r="Q246" s="251"/>
      <c r="R246" s="262"/>
      <c r="S246" s="225">
        <f t="shared" si="13"/>
        <v>-2940000</v>
      </c>
      <c r="T246" s="231">
        <f t="shared" si="14"/>
        <v>-1</v>
      </c>
      <c r="U246" s="225">
        <f t="shared" si="15"/>
        <v>0</v>
      </c>
      <c r="V246" s="225">
        <f t="shared" si="16"/>
        <v>-13670.999999999998</v>
      </c>
      <c r="W246" s="231">
        <f t="shared" si="17"/>
        <v>-1</v>
      </c>
      <c r="X246" s="231"/>
    </row>
    <row r="247" spans="1:25" x14ac:dyDescent="0.25">
      <c r="B247" s="182" t="s">
        <v>39</v>
      </c>
      <c r="C247" s="6"/>
      <c r="D247" s="7"/>
      <c r="E247" s="8"/>
      <c r="F247" s="48"/>
      <c r="H247" s="242"/>
      <c r="I247" s="242"/>
      <c r="J247" s="242"/>
      <c r="K247" s="242"/>
      <c r="L247" s="242"/>
      <c r="M247" s="242"/>
      <c r="N247" s="242"/>
      <c r="O247" s="242"/>
      <c r="P247" s="242"/>
      <c r="Q247" s="251"/>
      <c r="R247" s="257"/>
      <c r="S247" s="225"/>
      <c r="T247" s="231"/>
      <c r="U247" s="225"/>
      <c r="V247" s="225"/>
      <c r="W247" s="231"/>
      <c r="X247" s="231"/>
    </row>
    <row r="248" spans="1:25" x14ac:dyDescent="0.25">
      <c r="B248" s="137" t="s">
        <v>40</v>
      </c>
      <c r="C248" s="21" t="s">
        <v>392</v>
      </c>
      <c r="D248" s="25">
        <v>12</v>
      </c>
      <c r="E248" s="18">
        <f>475*490</f>
        <v>232750</v>
      </c>
      <c r="F248" s="48">
        <f>D248*E248</f>
        <v>2793000</v>
      </c>
      <c r="G248" s="49">
        <f>F248*C4</f>
        <v>12987.449999999999</v>
      </c>
      <c r="H248" s="242"/>
      <c r="I248" s="242"/>
      <c r="J248" s="242"/>
      <c r="K248" s="242"/>
      <c r="L248" s="242"/>
      <c r="M248" s="242"/>
      <c r="N248" s="242"/>
      <c r="O248" s="242"/>
      <c r="P248" s="242"/>
      <c r="Q248" s="251"/>
      <c r="R248" s="262"/>
      <c r="S248" s="225">
        <f t="shared" si="13"/>
        <v>-2793000</v>
      </c>
      <c r="T248" s="231">
        <f t="shared" si="14"/>
        <v>-1</v>
      </c>
      <c r="U248" s="225">
        <f t="shared" si="15"/>
        <v>0</v>
      </c>
      <c r="V248" s="225">
        <f t="shared" si="16"/>
        <v>-12987.449999999999</v>
      </c>
      <c r="W248" s="231">
        <f t="shared" si="17"/>
        <v>-1</v>
      </c>
      <c r="X248" s="231"/>
    </row>
    <row r="249" spans="1:25" x14ac:dyDescent="0.25">
      <c r="B249" s="182" t="s">
        <v>41</v>
      </c>
      <c r="C249" s="5"/>
      <c r="D249" s="5"/>
      <c r="E249" s="5"/>
      <c r="F249" s="168"/>
      <c r="H249" s="242"/>
      <c r="I249" s="242"/>
      <c r="J249" s="242"/>
      <c r="K249" s="242"/>
      <c r="L249" s="242"/>
      <c r="M249" s="242"/>
      <c r="N249" s="242"/>
      <c r="O249" s="242"/>
      <c r="P249" s="242"/>
      <c r="Q249" s="251"/>
      <c r="R249" s="257"/>
      <c r="S249" s="225"/>
      <c r="T249" s="231"/>
      <c r="U249" s="225"/>
      <c r="V249" s="225"/>
      <c r="W249" s="231"/>
      <c r="X249" s="231"/>
    </row>
    <row r="250" spans="1:25" x14ac:dyDescent="0.25">
      <c r="B250" s="137" t="s">
        <v>42</v>
      </c>
      <c r="C250" s="21" t="s">
        <v>515</v>
      </c>
      <c r="D250" s="25">
        <v>1</v>
      </c>
      <c r="E250" s="18">
        <f>2495*490</f>
        <v>1222550</v>
      </c>
      <c r="F250" s="48">
        <f>D250*E250</f>
        <v>1222550</v>
      </c>
      <c r="G250" s="49">
        <f>F250*C4</f>
        <v>5684.8574999999992</v>
      </c>
      <c r="H250" s="242"/>
      <c r="I250" s="242"/>
      <c r="J250" s="242"/>
      <c r="K250" s="242"/>
      <c r="L250" s="242"/>
      <c r="M250" s="242"/>
      <c r="N250" s="242"/>
      <c r="O250" s="242"/>
      <c r="P250" s="242"/>
      <c r="Q250" s="251"/>
      <c r="R250" s="262"/>
      <c r="S250" s="225">
        <f t="shared" si="13"/>
        <v>-1222550</v>
      </c>
      <c r="T250" s="231">
        <f t="shared" si="14"/>
        <v>-1</v>
      </c>
      <c r="U250" s="225">
        <f t="shared" si="15"/>
        <v>0</v>
      </c>
      <c r="V250" s="225">
        <f t="shared" si="16"/>
        <v>-5684.8574999999992</v>
      </c>
      <c r="W250" s="231">
        <f t="shared" si="17"/>
        <v>-1</v>
      </c>
      <c r="X250" s="231"/>
    </row>
    <row r="251" spans="1:25" x14ac:dyDescent="0.25">
      <c r="B251" s="149"/>
      <c r="C251" s="6"/>
      <c r="D251" s="7"/>
      <c r="E251" s="8"/>
      <c r="F251" s="48"/>
      <c r="H251" s="242"/>
      <c r="I251" s="242"/>
      <c r="J251" s="242"/>
      <c r="K251" s="242"/>
      <c r="L251" s="242"/>
      <c r="M251" s="242"/>
      <c r="N251" s="242"/>
      <c r="O251" s="242"/>
      <c r="P251" s="242"/>
      <c r="Q251" s="251"/>
      <c r="R251" s="257"/>
      <c r="S251" s="225"/>
      <c r="T251" s="231"/>
      <c r="U251" s="225"/>
      <c r="V251" s="225"/>
      <c r="W251" s="231"/>
      <c r="X251" s="231"/>
    </row>
    <row r="252" spans="1:25" x14ac:dyDescent="0.25">
      <c r="A252" s="177"/>
      <c r="B252" s="177" t="s">
        <v>58</v>
      </c>
      <c r="C252" s="179"/>
      <c r="D252" s="178"/>
      <c r="E252" s="180"/>
      <c r="F252" s="263">
        <f>SUM(F240+F241+F242+F244+F245+F246+F248+F250)</f>
        <v>23623658</v>
      </c>
      <c r="G252" s="319">
        <f>SUM(G240+G241+G242+G244+G245+G246+G248+G250)</f>
        <v>109850.0097</v>
      </c>
      <c r="H252" s="246"/>
      <c r="I252" s="246"/>
      <c r="J252" s="246"/>
      <c r="K252" s="246"/>
      <c r="L252" s="246"/>
      <c r="M252" s="246"/>
      <c r="N252" s="246"/>
      <c r="O252" s="246"/>
      <c r="P252" s="246"/>
      <c r="Q252" s="255"/>
      <c r="R252" s="265"/>
      <c r="S252" s="226">
        <f t="shared" si="13"/>
        <v>-23623658</v>
      </c>
      <c r="T252" s="236">
        <f t="shared" si="14"/>
        <v>-1</v>
      </c>
      <c r="U252" s="226">
        <f t="shared" si="15"/>
        <v>0</v>
      </c>
      <c r="V252" s="226">
        <f t="shared" si="16"/>
        <v>-109850.0097</v>
      </c>
      <c r="W252" s="236">
        <f t="shared" si="17"/>
        <v>-1</v>
      </c>
      <c r="X252" s="236"/>
    </row>
    <row r="253" spans="1:25" x14ac:dyDescent="0.25">
      <c r="A253" s="146"/>
      <c r="B253" s="146"/>
      <c r="C253" s="118"/>
      <c r="D253" s="122"/>
      <c r="E253" s="123"/>
      <c r="F253" s="55">
        <f ca="1">(F252/F255)</f>
        <v>4.1310893594387721E-2</v>
      </c>
      <c r="G253" s="55">
        <f ca="1">(G252/G255)</f>
        <v>4.1310893594387721E-2</v>
      </c>
      <c r="H253" s="247"/>
      <c r="I253" s="248"/>
      <c r="J253" s="248"/>
      <c r="K253" s="248"/>
      <c r="L253" s="248"/>
      <c r="M253" s="248"/>
      <c r="N253" s="248"/>
      <c r="O253" s="248"/>
      <c r="P253" s="248"/>
      <c r="Q253" s="248"/>
      <c r="R253" s="228"/>
      <c r="S253" s="228"/>
      <c r="T253" s="228"/>
      <c r="U253" s="228"/>
      <c r="V253" s="228"/>
      <c r="W253" s="183" t="s">
        <v>180</v>
      </c>
      <c r="X253" s="183"/>
      <c r="Y253" s="53"/>
    </row>
    <row r="254" spans="1:25" x14ac:dyDescent="0.25">
      <c r="F254" s="48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1"/>
      <c r="S254" s="1"/>
      <c r="T254" s="1"/>
      <c r="U254" s="1"/>
      <c r="V254" s="1"/>
    </row>
    <row r="255" spans="1:25" ht="13.8" thickBot="1" x14ac:dyDescent="0.3">
      <c r="A255" s="275"/>
      <c r="B255" s="275" t="s">
        <v>318</v>
      </c>
      <c r="C255" s="276"/>
      <c r="D255" s="277"/>
      <c r="E255" s="274"/>
      <c r="F255" s="278">
        <f ca="1">SUM(F236+F252)</f>
        <v>571850568.80999994</v>
      </c>
      <c r="G255" s="278">
        <f ca="1">G236+G252</f>
        <v>2659105.1449664994</v>
      </c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175"/>
      <c r="S255" s="175"/>
      <c r="T255" s="175"/>
      <c r="U255" s="175"/>
      <c r="V255" s="175"/>
    </row>
    <row r="256" spans="1:25" ht="13.8" thickTop="1" x14ac:dyDescent="0.25">
      <c r="F256" s="4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"/>
      <c r="S256" s="1"/>
      <c r="T256" s="1"/>
      <c r="U256" s="1"/>
      <c r="V256" s="1"/>
    </row>
    <row r="257" spans="1:22" ht="13.8" thickBot="1" x14ac:dyDescent="0.3">
      <c r="A257" s="184" t="s">
        <v>24</v>
      </c>
      <c r="B257" s="185"/>
      <c r="C257" s="186"/>
      <c r="D257" s="187"/>
      <c r="E257" s="188"/>
      <c r="F257" s="290">
        <f ca="1">SUM(F255-F73)</f>
        <v>571850568.80999994</v>
      </c>
      <c r="G257" s="290">
        <f ca="1">SUM(G255-G73)</f>
        <v>2659105.1449664994</v>
      </c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229"/>
      <c r="S257" s="229"/>
      <c r="T257" s="229"/>
      <c r="U257" s="229"/>
      <c r="V257" s="229"/>
    </row>
    <row r="258" spans="1:22" ht="12" customHeight="1" thickTop="1" x14ac:dyDescent="0.25">
      <c r="F258" s="74"/>
    </row>
    <row r="259" spans="1:22" x14ac:dyDescent="0.25">
      <c r="A259" s="70" t="s">
        <v>15</v>
      </c>
      <c r="F259" s="74"/>
    </row>
    <row r="260" spans="1:22" x14ac:dyDescent="0.25">
      <c r="F260" s="74"/>
    </row>
    <row r="261" spans="1:22" ht="15" x14ac:dyDescent="0.4">
      <c r="B261" s="190" t="s">
        <v>16</v>
      </c>
      <c r="D261" s="191" t="s">
        <v>26</v>
      </c>
      <c r="F261" s="393" t="s">
        <v>17</v>
      </c>
      <c r="G261" s="394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</row>
    <row r="262" spans="1:22" ht="15" x14ac:dyDescent="0.4">
      <c r="B262" s="49" t="s">
        <v>860</v>
      </c>
      <c r="D262" s="191">
        <f>550*6</f>
        <v>3300</v>
      </c>
      <c r="F262" s="363" t="s">
        <v>861</v>
      </c>
    </row>
    <row r="263" spans="1:22" ht="26.4" x14ac:dyDescent="0.25">
      <c r="B263" s="137" t="s">
        <v>862</v>
      </c>
      <c r="D263" s="72">
        <v>2000</v>
      </c>
      <c r="F263" s="363" t="s">
        <v>861</v>
      </c>
    </row>
    <row r="264" spans="1:22" x14ac:dyDescent="0.25">
      <c r="B264" s="49" t="s">
        <v>863</v>
      </c>
      <c r="D264" s="72">
        <v>2051</v>
      </c>
      <c r="F264" s="363" t="s">
        <v>864</v>
      </c>
    </row>
    <row r="265" spans="1:22" x14ac:dyDescent="0.25">
      <c r="F265" s="74"/>
    </row>
    <row r="266" spans="1:22" x14ac:dyDescent="0.25">
      <c r="F266" s="74"/>
    </row>
    <row r="267" spans="1:22" x14ac:dyDescent="0.25">
      <c r="F267" s="74"/>
    </row>
    <row r="268" spans="1:22" x14ac:dyDescent="0.25">
      <c r="F268" s="74"/>
    </row>
    <row r="269" spans="1:22" x14ac:dyDescent="0.25">
      <c r="F269" s="74"/>
    </row>
    <row r="270" spans="1:22" x14ac:dyDescent="0.25">
      <c r="F270" s="74"/>
    </row>
    <row r="271" spans="1:22" x14ac:dyDescent="0.25">
      <c r="F271" s="74"/>
    </row>
    <row r="272" spans="1:22" x14ac:dyDescent="0.25">
      <c r="F272" s="74"/>
    </row>
    <row r="273" spans="6:6" x14ac:dyDescent="0.25">
      <c r="F273" s="74"/>
    </row>
    <row r="274" spans="6:6" x14ac:dyDescent="0.25">
      <c r="F274" s="74"/>
    </row>
    <row r="275" spans="6:6" x14ac:dyDescent="0.25">
      <c r="F275" s="74"/>
    </row>
    <row r="276" spans="6:6" x14ac:dyDescent="0.25">
      <c r="F276" s="74"/>
    </row>
    <row r="277" spans="6:6" x14ac:dyDescent="0.25">
      <c r="F277" s="74"/>
    </row>
    <row r="278" spans="6:6" x14ac:dyDescent="0.25">
      <c r="F278" s="74"/>
    </row>
    <row r="279" spans="6:6" x14ac:dyDescent="0.25">
      <c r="F279" s="74"/>
    </row>
    <row r="280" spans="6:6" x14ac:dyDescent="0.25">
      <c r="F280" s="74"/>
    </row>
    <row r="281" spans="6:6" x14ac:dyDescent="0.25">
      <c r="F281" s="74"/>
    </row>
    <row r="282" spans="6:6" x14ac:dyDescent="0.25">
      <c r="F282" s="74"/>
    </row>
    <row r="283" spans="6:6" x14ac:dyDescent="0.25">
      <c r="F283" s="74"/>
    </row>
    <row r="284" spans="6:6" x14ac:dyDescent="0.25">
      <c r="F284" s="74"/>
    </row>
    <row r="285" spans="6:6" x14ac:dyDescent="0.25">
      <c r="F285" s="74"/>
    </row>
    <row r="286" spans="6:6" x14ac:dyDescent="0.25">
      <c r="F286" s="74"/>
    </row>
    <row r="287" spans="6:6" x14ac:dyDescent="0.25">
      <c r="F287" s="74"/>
    </row>
    <row r="288" spans="6:6" x14ac:dyDescent="0.25">
      <c r="F288" s="74"/>
    </row>
    <row r="289" spans="6:6" x14ac:dyDescent="0.25">
      <c r="F289" s="74"/>
    </row>
    <row r="290" spans="6:6" x14ac:dyDescent="0.25">
      <c r="F290" s="74"/>
    </row>
    <row r="291" spans="6:6" x14ac:dyDescent="0.25">
      <c r="F291" s="74"/>
    </row>
    <row r="292" spans="6:6" x14ac:dyDescent="0.25">
      <c r="F292" s="74"/>
    </row>
    <row r="293" spans="6:6" x14ac:dyDescent="0.25">
      <c r="F293" s="74"/>
    </row>
    <row r="294" spans="6:6" x14ac:dyDescent="0.25">
      <c r="F294" s="74"/>
    </row>
    <row r="295" spans="6:6" x14ac:dyDescent="0.25">
      <c r="F295" s="74"/>
    </row>
    <row r="296" spans="6:6" x14ac:dyDescent="0.25">
      <c r="F296" s="74"/>
    </row>
    <row r="297" spans="6:6" x14ac:dyDescent="0.25">
      <c r="F297" s="74"/>
    </row>
    <row r="298" spans="6:6" x14ac:dyDescent="0.25">
      <c r="F298" s="74"/>
    </row>
    <row r="299" spans="6:6" x14ac:dyDescent="0.25">
      <c r="F299" s="74"/>
    </row>
    <row r="300" spans="6:6" x14ac:dyDescent="0.25">
      <c r="F300" s="74"/>
    </row>
    <row r="301" spans="6:6" x14ac:dyDescent="0.25">
      <c r="F301" s="74"/>
    </row>
    <row r="302" spans="6:6" x14ac:dyDescent="0.25">
      <c r="F302" s="74"/>
    </row>
    <row r="303" spans="6:6" x14ac:dyDescent="0.25">
      <c r="F303" s="74"/>
    </row>
    <row r="304" spans="6:6" x14ac:dyDescent="0.25">
      <c r="F304" s="74"/>
    </row>
    <row r="305" spans="6:6" x14ac:dyDescent="0.25">
      <c r="F305" s="74"/>
    </row>
    <row r="306" spans="6:6" x14ac:dyDescent="0.25">
      <c r="F306" s="74"/>
    </row>
    <row r="307" spans="6:6" x14ac:dyDescent="0.25">
      <c r="F307" s="74"/>
    </row>
    <row r="308" spans="6:6" x14ac:dyDescent="0.25">
      <c r="F308" s="74"/>
    </row>
    <row r="309" spans="6:6" x14ac:dyDescent="0.25">
      <c r="F309" s="74"/>
    </row>
    <row r="310" spans="6:6" x14ac:dyDescent="0.25">
      <c r="F310" s="74"/>
    </row>
    <row r="311" spans="6:6" x14ac:dyDescent="0.25">
      <c r="F311" s="74"/>
    </row>
    <row r="312" spans="6:6" x14ac:dyDescent="0.25">
      <c r="F312" s="74"/>
    </row>
    <row r="313" spans="6:6" x14ac:dyDescent="0.25">
      <c r="F313" s="74"/>
    </row>
    <row r="314" spans="6:6" x14ac:dyDescent="0.25">
      <c r="F314" s="74"/>
    </row>
    <row r="315" spans="6:6" x14ac:dyDescent="0.25">
      <c r="F315" s="74"/>
    </row>
    <row r="316" spans="6:6" x14ac:dyDescent="0.25">
      <c r="F316" s="74"/>
    </row>
    <row r="317" spans="6:6" x14ac:dyDescent="0.25">
      <c r="F317" s="74"/>
    </row>
    <row r="318" spans="6:6" x14ac:dyDescent="0.25">
      <c r="F318" s="74"/>
    </row>
    <row r="319" spans="6:6" x14ac:dyDescent="0.25">
      <c r="F319" s="74"/>
    </row>
    <row r="320" spans="6:6" x14ac:dyDescent="0.25">
      <c r="F320" s="74"/>
    </row>
    <row r="321" spans="6:6" x14ac:dyDescent="0.25">
      <c r="F321" s="74"/>
    </row>
    <row r="322" spans="6:6" x14ac:dyDescent="0.25">
      <c r="F322" s="74"/>
    </row>
    <row r="323" spans="6:6" x14ac:dyDescent="0.25">
      <c r="F323" s="74"/>
    </row>
    <row r="324" spans="6:6" x14ac:dyDescent="0.25">
      <c r="F324" s="74"/>
    </row>
    <row r="325" spans="6:6" x14ac:dyDescent="0.25">
      <c r="F325" s="74"/>
    </row>
    <row r="326" spans="6:6" x14ac:dyDescent="0.25">
      <c r="F326" s="74"/>
    </row>
    <row r="327" spans="6:6" x14ac:dyDescent="0.25">
      <c r="F327" s="74"/>
    </row>
    <row r="328" spans="6:6" x14ac:dyDescent="0.25">
      <c r="F328" s="74"/>
    </row>
    <row r="329" spans="6:6" x14ac:dyDescent="0.25">
      <c r="F329" s="74"/>
    </row>
    <row r="330" spans="6:6" x14ac:dyDescent="0.25">
      <c r="F330" s="74"/>
    </row>
    <row r="331" spans="6:6" x14ac:dyDescent="0.25">
      <c r="F331" s="74"/>
    </row>
    <row r="332" spans="6:6" x14ac:dyDescent="0.25">
      <c r="F332" s="74"/>
    </row>
    <row r="333" spans="6:6" x14ac:dyDescent="0.25">
      <c r="F333" s="74"/>
    </row>
    <row r="334" spans="6:6" x14ac:dyDescent="0.25">
      <c r="F334" s="74"/>
    </row>
    <row r="335" spans="6:6" x14ac:dyDescent="0.25">
      <c r="F335" s="74"/>
    </row>
    <row r="336" spans="6:6" x14ac:dyDescent="0.25">
      <c r="F336" s="74"/>
    </row>
    <row r="337" spans="6:6" x14ac:dyDescent="0.25">
      <c r="F337" s="74"/>
    </row>
    <row r="338" spans="6:6" x14ac:dyDescent="0.25">
      <c r="F338" s="74"/>
    </row>
    <row r="339" spans="6:6" x14ac:dyDescent="0.25">
      <c r="F339" s="74"/>
    </row>
    <row r="340" spans="6:6" x14ac:dyDescent="0.25">
      <c r="F340" s="74"/>
    </row>
    <row r="341" spans="6:6" x14ac:dyDescent="0.25">
      <c r="F341" s="74"/>
    </row>
    <row r="342" spans="6:6" x14ac:dyDescent="0.25">
      <c r="F342" s="74"/>
    </row>
    <row r="343" spans="6:6" x14ac:dyDescent="0.25">
      <c r="F343" s="74"/>
    </row>
    <row r="344" spans="6:6" x14ac:dyDescent="0.25">
      <c r="F344" s="74"/>
    </row>
    <row r="345" spans="6:6" x14ac:dyDescent="0.25">
      <c r="F345" s="74"/>
    </row>
    <row r="346" spans="6:6" x14ac:dyDescent="0.25">
      <c r="F346" s="74"/>
    </row>
    <row r="347" spans="6:6" x14ac:dyDescent="0.25">
      <c r="F347" s="74"/>
    </row>
    <row r="348" spans="6:6" x14ac:dyDescent="0.25">
      <c r="F348" s="74"/>
    </row>
    <row r="349" spans="6:6" x14ac:dyDescent="0.25">
      <c r="F349" s="74"/>
    </row>
    <row r="350" spans="6:6" x14ac:dyDescent="0.25">
      <c r="F350" s="74"/>
    </row>
    <row r="351" spans="6:6" x14ac:dyDescent="0.25">
      <c r="F351" s="74"/>
    </row>
    <row r="352" spans="6:6" x14ac:dyDescent="0.25">
      <c r="F352" s="74"/>
    </row>
    <row r="353" spans="6:6" x14ac:dyDescent="0.25">
      <c r="F353" s="74"/>
    </row>
    <row r="354" spans="6:6" x14ac:dyDescent="0.25">
      <c r="F354" s="74"/>
    </row>
    <row r="355" spans="6:6" x14ac:dyDescent="0.25">
      <c r="F355" s="74"/>
    </row>
    <row r="356" spans="6:6" x14ac:dyDescent="0.25">
      <c r="F356" s="74"/>
    </row>
    <row r="357" spans="6:6" x14ac:dyDescent="0.25">
      <c r="F357" s="74"/>
    </row>
    <row r="358" spans="6:6" x14ac:dyDescent="0.25">
      <c r="F358" s="74"/>
    </row>
    <row r="359" spans="6:6" x14ac:dyDescent="0.25">
      <c r="F359" s="74"/>
    </row>
    <row r="360" spans="6:6" x14ac:dyDescent="0.25">
      <c r="F360" s="74"/>
    </row>
    <row r="361" spans="6:6" x14ac:dyDescent="0.25">
      <c r="F361" s="74"/>
    </row>
    <row r="362" spans="6:6" x14ac:dyDescent="0.25">
      <c r="F362" s="74"/>
    </row>
    <row r="363" spans="6:6" x14ac:dyDescent="0.25">
      <c r="F363" s="74"/>
    </row>
    <row r="364" spans="6:6" x14ac:dyDescent="0.25">
      <c r="F364" s="74"/>
    </row>
    <row r="365" spans="6:6" x14ac:dyDescent="0.25">
      <c r="F365" s="74"/>
    </row>
    <row r="366" spans="6:6" x14ac:dyDescent="0.25">
      <c r="F366" s="74"/>
    </row>
    <row r="367" spans="6:6" x14ac:dyDescent="0.25">
      <c r="F367" s="74"/>
    </row>
    <row r="368" spans="6:6" x14ac:dyDescent="0.25">
      <c r="F368" s="74"/>
    </row>
    <row r="369" spans="6:6" x14ac:dyDescent="0.25">
      <c r="F369" s="74"/>
    </row>
    <row r="370" spans="6:6" x14ac:dyDescent="0.25">
      <c r="F370" s="74"/>
    </row>
    <row r="371" spans="6:6" x14ac:dyDescent="0.25">
      <c r="F371" s="74"/>
    </row>
    <row r="372" spans="6:6" x14ac:dyDescent="0.25">
      <c r="F372" s="74"/>
    </row>
    <row r="373" spans="6:6" x14ac:dyDescent="0.25">
      <c r="F373" s="74"/>
    </row>
    <row r="374" spans="6:6" x14ac:dyDescent="0.25">
      <c r="F374" s="74"/>
    </row>
    <row r="375" spans="6:6" x14ac:dyDescent="0.25">
      <c r="F375" s="74"/>
    </row>
    <row r="376" spans="6:6" x14ac:dyDescent="0.25">
      <c r="F376" s="74"/>
    </row>
    <row r="377" spans="6:6" x14ac:dyDescent="0.25">
      <c r="F377" s="74"/>
    </row>
    <row r="378" spans="6:6" x14ac:dyDescent="0.25">
      <c r="F378" s="74"/>
    </row>
    <row r="379" spans="6:6" x14ac:dyDescent="0.25">
      <c r="F379" s="74"/>
    </row>
    <row r="380" spans="6:6" x14ac:dyDescent="0.25">
      <c r="F380" s="74"/>
    </row>
    <row r="381" spans="6:6" x14ac:dyDescent="0.25">
      <c r="F381" s="74"/>
    </row>
    <row r="382" spans="6:6" x14ac:dyDescent="0.25">
      <c r="F382" s="74"/>
    </row>
    <row r="383" spans="6:6" x14ac:dyDescent="0.25">
      <c r="F383" s="74"/>
    </row>
    <row r="384" spans="6:6" x14ac:dyDescent="0.25">
      <c r="F384" s="74"/>
    </row>
    <row r="385" spans="6:6" x14ac:dyDescent="0.25">
      <c r="F385" s="74"/>
    </row>
    <row r="386" spans="6:6" x14ac:dyDescent="0.25">
      <c r="F386" s="74"/>
    </row>
    <row r="387" spans="6:6" x14ac:dyDescent="0.25">
      <c r="F387" s="74"/>
    </row>
    <row r="388" spans="6:6" x14ac:dyDescent="0.25">
      <c r="F388" s="74"/>
    </row>
    <row r="389" spans="6:6" x14ac:dyDescent="0.25">
      <c r="F389" s="74"/>
    </row>
    <row r="390" spans="6:6" x14ac:dyDescent="0.25">
      <c r="F390" s="74"/>
    </row>
    <row r="391" spans="6:6" x14ac:dyDescent="0.25">
      <c r="F391" s="74"/>
    </row>
    <row r="392" spans="6:6" x14ac:dyDescent="0.25">
      <c r="F392" s="74"/>
    </row>
    <row r="393" spans="6:6" x14ac:dyDescent="0.25">
      <c r="F393" s="74"/>
    </row>
    <row r="394" spans="6:6" x14ac:dyDescent="0.25">
      <c r="F394" s="74"/>
    </row>
    <row r="395" spans="6:6" x14ac:dyDescent="0.25">
      <c r="F395" s="74"/>
    </row>
    <row r="396" spans="6:6" x14ac:dyDescent="0.25">
      <c r="F396" s="74"/>
    </row>
    <row r="397" spans="6:6" x14ac:dyDescent="0.25">
      <c r="F397" s="74"/>
    </row>
    <row r="398" spans="6:6" x14ac:dyDescent="0.25">
      <c r="F398" s="74"/>
    </row>
    <row r="399" spans="6:6" x14ac:dyDescent="0.25">
      <c r="F399" s="74"/>
    </row>
    <row r="400" spans="6:6" x14ac:dyDescent="0.25">
      <c r="F400" s="74"/>
    </row>
    <row r="401" spans="6:6" x14ac:dyDescent="0.25">
      <c r="F401" s="74"/>
    </row>
    <row r="402" spans="6:6" x14ac:dyDescent="0.25">
      <c r="F402" s="74"/>
    </row>
    <row r="403" spans="6:6" x14ac:dyDescent="0.25">
      <c r="F403" s="74"/>
    </row>
    <row r="404" spans="6:6" x14ac:dyDescent="0.25">
      <c r="F404" s="74"/>
    </row>
    <row r="405" spans="6:6" x14ac:dyDescent="0.25">
      <c r="F405" s="74"/>
    </row>
    <row r="406" spans="6:6" x14ac:dyDescent="0.25">
      <c r="F406" s="74"/>
    </row>
    <row r="407" spans="6:6" x14ac:dyDescent="0.25">
      <c r="F407" s="74"/>
    </row>
    <row r="408" spans="6:6" x14ac:dyDescent="0.25">
      <c r="F408" s="74"/>
    </row>
    <row r="409" spans="6:6" x14ac:dyDescent="0.25">
      <c r="F409" s="74"/>
    </row>
    <row r="410" spans="6:6" x14ac:dyDescent="0.25">
      <c r="F410" s="74"/>
    </row>
    <row r="411" spans="6:6" x14ac:dyDescent="0.25">
      <c r="F411" s="74"/>
    </row>
    <row r="412" spans="6:6" x14ac:dyDescent="0.25">
      <c r="F412" s="74"/>
    </row>
    <row r="413" spans="6:6" x14ac:dyDescent="0.25">
      <c r="F413" s="74"/>
    </row>
    <row r="414" spans="6:6" x14ac:dyDescent="0.25">
      <c r="F414" s="74"/>
    </row>
    <row r="415" spans="6:6" x14ac:dyDescent="0.25">
      <c r="F415" s="74"/>
    </row>
    <row r="416" spans="6:6" x14ac:dyDescent="0.25">
      <c r="F416" s="74"/>
    </row>
    <row r="417" spans="6:6" x14ac:dyDescent="0.25">
      <c r="F417" s="74"/>
    </row>
    <row r="418" spans="6:6" x14ac:dyDescent="0.25">
      <c r="F418" s="74"/>
    </row>
    <row r="419" spans="6:6" x14ac:dyDescent="0.25">
      <c r="F419" s="74"/>
    </row>
    <row r="420" spans="6:6" x14ac:dyDescent="0.25">
      <c r="F420" s="74"/>
    </row>
    <row r="421" spans="6:6" x14ac:dyDescent="0.25">
      <c r="F421" s="74"/>
    </row>
    <row r="422" spans="6:6" x14ac:dyDescent="0.25">
      <c r="F422" s="74"/>
    </row>
    <row r="423" spans="6:6" x14ac:dyDescent="0.25">
      <c r="F423" s="74"/>
    </row>
    <row r="424" spans="6:6" x14ac:dyDescent="0.25">
      <c r="F424" s="74"/>
    </row>
    <row r="425" spans="6:6" x14ac:dyDescent="0.25">
      <c r="F425" s="74"/>
    </row>
    <row r="426" spans="6:6" x14ac:dyDescent="0.25">
      <c r="F426" s="74"/>
    </row>
    <row r="427" spans="6:6" x14ac:dyDescent="0.25">
      <c r="F427" s="74"/>
    </row>
    <row r="428" spans="6:6" x14ac:dyDescent="0.25">
      <c r="F428" s="74"/>
    </row>
    <row r="429" spans="6:6" x14ac:dyDescent="0.25">
      <c r="F429" s="74"/>
    </row>
    <row r="430" spans="6:6" x14ac:dyDescent="0.25">
      <c r="F430" s="74"/>
    </row>
    <row r="431" spans="6:6" x14ac:dyDescent="0.25">
      <c r="F431" s="74"/>
    </row>
    <row r="432" spans="6:6" x14ac:dyDescent="0.25">
      <c r="F432" s="74"/>
    </row>
    <row r="433" spans="6:6" x14ac:dyDescent="0.25">
      <c r="F433" s="74"/>
    </row>
    <row r="434" spans="6:6" x14ac:dyDescent="0.25">
      <c r="F434" s="74"/>
    </row>
    <row r="435" spans="6:6" x14ac:dyDescent="0.25">
      <c r="F435" s="74"/>
    </row>
    <row r="436" spans="6:6" x14ac:dyDescent="0.25">
      <c r="F436" s="74"/>
    </row>
    <row r="437" spans="6:6" x14ac:dyDescent="0.25">
      <c r="F437" s="74"/>
    </row>
    <row r="438" spans="6:6" x14ac:dyDescent="0.25">
      <c r="F438" s="74"/>
    </row>
    <row r="439" spans="6:6" x14ac:dyDescent="0.25">
      <c r="F439" s="74"/>
    </row>
    <row r="440" spans="6:6" x14ac:dyDescent="0.25">
      <c r="F440" s="74"/>
    </row>
    <row r="441" spans="6:6" x14ac:dyDescent="0.25">
      <c r="F441" s="74"/>
    </row>
    <row r="442" spans="6:6" x14ac:dyDescent="0.25">
      <c r="F442" s="74"/>
    </row>
    <row r="443" spans="6:6" x14ac:dyDescent="0.25">
      <c r="F443" s="74"/>
    </row>
    <row r="444" spans="6:6" x14ac:dyDescent="0.25">
      <c r="F444" s="74"/>
    </row>
    <row r="445" spans="6:6" x14ac:dyDescent="0.25">
      <c r="F445" s="74"/>
    </row>
    <row r="446" spans="6:6" x14ac:dyDescent="0.25">
      <c r="F446" s="74"/>
    </row>
    <row r="447" spans="6:6" x14ac:dyDescent="0.25">
      <c r="F447" s="74"/>
    </row>
    <row r="448" spans="6:6" x14ac:dyDescent="0.25">
      <c r="F448" s="74"/>
    </row>
    <row r="449" spans="6:6" x14ac:dyDescent="0.25">
      <c r="F449" s="74"/>
    </row>
    <row r="450" spans="6:6" x14ac:dyDescent="0.25">
      <c r="F450" s="74"/>
    </row>
    <row r="451" spans="6:6" x14ac:dyDescent="0.25">
      <c r="F451" s="74"/>
    </row>
    <row r="452" spans="6:6" x14ac:dyDescent="0.25">
      <c r="F452" s="74"/>
    </row>
    <row r="453" spans="6:6" x14ac:dyDescent="0.25">
      <c r="F453" s="74"/>
    </row>
    <row r="454" spans="6:6" x14ac:dyDescent="0.25">
      <c r="F454" s="74"/>
    </row>
    <row r="455" spans="6:6" x14ac:dyDescent="0.25">
      <c r="F455" s="74"/>
    </row>
    <row r="456" spans="6:6" x14ac:dyDescent="0.25">
      <c r="F456" s="74"/>
    </row>
    <row r="457" spans="6:6" x14ac:dyDescent="0.25">
      <c r="F457" s="74"/>
    </row>
    <row r="458" spans="6:6" x14ac:dyDescent="0.25">
      <c r="F458" s="74"/>
    </row>
    <row r="459" spans="6:6" x14ac:dyDescent="0.25">
      <c r="F459" s="74"/>
    </row>
    <row r="460" spans="6:6" x14ac:dyDescent="0.25">
      <c r="F460" s="74"/>
    </row>
    <row r="461" spans="6:6" x14ac:dyDescent="0.25">
      <c r="F461" s="74"/>
    </row>
    <row r="462" spans="6:6" x14ac:dyDescent="0.25">
      <c r="F462" s="74"/>
    </row>
    <row r="463" spans="6:6" x14ac:dyDescent="0.25">
      <c r="F463" s="74"/>
    </row>
    <row r="464" spans="6:6" x14ac:dyDescent="0.25">
      <c r="F464" s="74"/>
    </row>
    <row r="465" spans="6:6" x14ac:dyDescent="0.25">
      <c r="F465" s="74"/>
    </row>
    <row r="466" spans="6:6" x14ac:dyDescent="0.25">
      <c r="F466" s="74"/>
    </row>
    <row r="467" spans="6:6" x14ac:dyDescent="0.25">
      <c r="F467" s="74"/>
    </row>
    <row r="468" spans="6:6" x14ac:dyDescent="0.25">
      <c r="F468" s="74"/>
    </row>
    <row r="469" spans="6:6" x14ac:dyDescent="0.25">
      <c r="F469" s="74"/>
    </row>
    <row r="470" spans="6:6" x14ac:dyDescent="0.25">
      <c r="F470" s="74"/>
    </row>
    <row r="471" spans="6:6" x14ac:dyDescent="0.25">
      <c r="F471" s="74"/>
    </row>
    <row r="472" spans="6:6" x14ac:dyDescent="0.25">
      <c r="F472" s="74"/>
    </row>
    <row r="473" spans="6:6" x14ac:dyDescent="0.25">
      <c r="F473" s="74"/>
    </row>
    <row r="474" spans="6:6" x14ac:dyDescent="0.25">
      <c r="F474" s="74"/>
    </row>
    <row r="475" spans="6:6" x14ac:dyDescent="0.25">
      <c r="F475" s="74"/>
    </row>
    <row r="476" spans="6:6" x14ac:dyDescent="0.25">
      <c r="F476" s="74"/>
    </row>
    <row r="477" spans="6:6" x14ac:dyDescent="0.25">
      <c r="F477" s="74"/>
    </row>
    <row r="478" spans="6:6" x14ac:dyDescent="0.25">
      <c r="F478" s="74"/>
    </row>
    <row r="479" spans="6:6" x14ac:dyDescent="0.25">
      <c r="F479" s="74"/>
    </row>
    <row r="480" spans="6:6" x14ac:dyDescent="0.25">
      <c r="F480" s="74"/>
    </row>
    <row r="481" spans="6:6" x14ac:dyDescent="0.25">
      <c r="F481" s="74"/>
    </row>
    <row r="482" spans="6:6" x14ac:dyDescent="0.25">
      <c r="F482" s="74"/>
    </row>
    <row r="483" spans="6:6" x14ac:dyDescent="0.25">
      <c r="F483" s="74"/>
    </row>
    <row r="484" spans="6:6" x14ac:dyDescent="0.25">
      <c r="F484" s="74"/>
    </row>
    <row r="485" spans="6:6" x14ac:dyDescent="0.25">
      <c r="F485" s="74"/>
    </row>
    <row r="486" spans="6:6" x14ac:dyDescent="0.25">
      <c r="F486" s="74"/>
    </row>
    <row r="487" spans="6:6" x14ac:dyDescent="0.25">
      <c r="F487" s="74"/>
    </row>
    <row r="488" spans="6:6" x14ac:dyDescent="0.25">
      <c r="F488" s="74"/>
    </row>
    <row r="489" spans="6:6" x14ac:dyDescent="0.25">
      <c r="F489" s="74"/>
    </row>
    <row r="490" spans="6:6" x14ac:dyDescent="0.25">
      <c r="F490" s="74"/>
    </row>
    <row r="491" spans="6:6" x14ac:dyDescent="0.25">
      <c r="F491" s="74"/>
    </row>
    <row r="492" spans="6:6" x14ac:dyDescent="0.25">
      <c r="F492" s="74"/>
    </row>
    <row r="493" spans="6:6" x14ac:dyDescent="0.25">
      <c r="F493" s="74"/>
    </row>
    <row r="494" spans="6:6" x14ac:dyDescent="0.25">
      <c r="F494" s="74"/>
    </row>
    <row r="495" spans="6:6" x14ac:dyDescent="0.25">
      <c r="F495" s="74"/>
    </row>
    <row r="496" spans="6:6" x14ac:dyDescent="0.25">
      <c r="F496" s="74"/>
    </row>
    <row r="497" spans="6:6" x14ac:dyDescent="0.25">
      <c r="F497" s="74"/>
    </row>
    <row r="498" spans="6:6" x14ac:dyDescent="0.25">
      <c r="F498" s="74"/>
    </row>
    <row r="499" spans="6:6" x14ac:dyDescent="0.25">
      <c r="F499" s="74"/>
    </row>
    <row r="500" spans="6:6" x14ac:dyDescent="0.25">
      <c r="F500" s="74"/>
    </row>
    <row r="501" spans="6:6" x14ac:dyDescent="0.25">
      <c r="F501" s="74"/>
    </row>
    <row r="502" spans="6:6" x14ac:dyDescent="0.25">
      <c r="F502" s="74"/>
    </row>
    <row r="503" spans="6:6" x14ac:dyDescent="0.25">
      <c r="F503" s="74"/>
    </row>
    <row r="504" spans="6:6" x14ac:dyDescent="0.25">
      <c r="F504" s="74"/>
    </row>
    <row r="505" spans="6:6" x14ac:dyDescent="0.25">
      <c r="F505" s="74"/>
    </row>
    <row r="506" spans="6:6" x14ac:dyDescent="0.25">
      <c r="F506" s="74"/>
    </row>
    <row r="507" spans="6:6" x14ac:dyDescent="0.25">
      <c r="F507" s="74"/>
    </row>
    <row r="508" spans="6:6" x14ac:dyDescent="0.25">
      <c r="F508" s="74"/>
    </row>
    <row r="509" spans="6:6" x14ac:dyDescent="0.25">
      <c r="F509" s="74"/>
    </row>
    <row r="510" spans="6:6" x14ac:dyDescent="0.25">
      <c r="F510" s="74"/>
    </row>
    <row r="511" spans="6:6" x14ac:dyDescent="0.25">
      <c r="F511" s="74"/>
    </row>
    <row r="512" spans="6:6" x14ac:dyDescent="0.25">
      <c r="F512" s="74"/>
    </row>
    <row r="513" spans="6:6" x14ac:dyDescent="0.25">
      <c r="F513" s="74"/>
    </row>
    <row r="514" spans="6:6" x14ac:dyDescent="0.25">
      <c r="F514" s="74"/>
    </row>
    <row r="515" spans="6:6" x14ac:dyDescent="0.25">
      <c r="F515" s="74"/>
    </row>
    <row r="516" spans="6:6" x14ac:dyDescent="0.25">
      <c r="F516" s="74"/>
    </row>
    <row r="517" spans="6:6" x14ac:dyDescent="0.25">
      <c r="F517" s="74"/>
    </row>
    <row r="518" spans="6:6" x14ac:dyDescent="0.25">
      <c r="F518" s="74"/>
    </row>
    <row r="519" spans="6:6" x14ac:dyDescent="0.25">
      <c r="F519" s="74"/>
    </row>
    <row r="520" spans="6:6" x14ac:dyDescent="0.25">
      <c r="F520" s="74"/>
    </row>
    <row r="521" spans="6:6" x14ac:dyDescent="0.25">
      <c r="F521" s="74"/>
    </row>
    <row r="522" spans="6:6" x14ac:dyDescent="0.25">
      <c r="F522" s="74"/>
    </row>
    <row r="523" spans="6:6" x14ac:dyDescent="0.25">
      <c r="F523" s="74"/>
    </row>
    <row r="524" spans="6:6" x14ac:dyDescent="0.25">
      <c r="F524" s="74"/>
    </row>
    <row r="525" spans="6:6" x14ac:dyDescent="0.25">
      <c r="F525" s="74"/>
    </row>
    <row r="526" spans="6:6" x14ac:dyDescent="0.25">
      <c r="F526" s="74"/>
    </row>
    <row r="527" spans="6:6" x14ac:dyDescent="0.25">
      <c r="F527" s="74"/>
    </row>
    <row r="528" spans="6:6" x14ac:dyDescent="0.25">
      <c r="F528" s="74"/>
    </row>
    <row r="529" spans="6:6" x14ac:dyDescent="0.25">
      <c r="F529" s="74"/>
    </row>
    <row r="530" spans="6:6" x14ac:dyDescent="0.25">
      <c r="F530" s="74"/>
    </row>
    <row r="531" spans="6:6" x14ac:dyDescent="0.25">
      <c r="F531" s="74"/>
    </row>
    <row r="532" spans="6:6" x14ac:dyDescent="0.25">
      <c r="F532" s="74"/>
    </row>
    <row r="533" spans="6:6" x14ac:dyDescent="0.25">
      <c r="F533" s="74"/>
    </row>
    <row r="534" spans="6:6" x14ac:dyDescent="0.25">
      <c r="F534" s="74"/>
    </row>
    <row r="535" spans="6:6" x14ac:dyDescent="0.25">
      <c r="F535" s="74"/>
    </row>
    <row r="536" spans="6:6" x14ac:dyDescent="0.25">
      <c r="F536" s="74"/>
    </row>
    <row r="537" spans="6:6" x14ac:dyDescent="0.25">
      <c r="F537" s="74"/>
    </row>
    <row r="538" spans="6:6" x14ac:dyDescent="0.25">
      <c r="F538" s="74"/>
    </row>
    <row r="539" spans="6:6" x14ac:dyDescent="0.25">
      <c r="F539" s="74"/>
    </row>
    <row r="540" spans="6:6" x14ac:dyDescent="0.25">
      <c r="F540" s="74"/>
    </row>
    <row r="541" spans="6:6" x14ac:dyDescent="0.25">
      <c r="F541" s="74"/>
    </row>
    <row r="542" spans="6:6" x14ac:dyDescent="0.25">
      <c r="F542" s="74"/>
    </row>
    <row r="543" spans="6:6" x14ac:dyDescent="0.25">
      <c r="F543" s="74"/>
    </row>
    <row r="544" spans="6:6" x14ac:dyDescent="0.25">
      <c r="F544" s="74"/>
    </row>
    <row r="545" spans="6:6" x14ac:dyDescent="0.25">
      <c r="F545" s="74"/>
    </row>
    <row r="546" spans="6:6" x14ac:dyDescent="0.25">
      <c r="F546" s="74"/>
    </row>
    <row r="547" spans="6:6" x14ac:dyDescent="0.25">
      <c r="F547" s="74"/>
    </row>
    <row r="548" spans="6:6" x14ac:dyDescent="0.25">
      <c r="F548" s="74"/>
    </row>
    <row r="549" spans="6:6" x14ac:dyDescent="0.25">
      <c r="F549" s="74"/>
    </row>
    <row r="550" spans="6:6" x14ac:dyDescent="0.25">
      <c r="F550" s="74"/>
    </row>
    <row r="551" spans="6:6" x14ac:dyDescent="0.25">
      <c r="F551" s="74"/>
    </row>
    <row r="552" spans="6:6" x14ac:dyDescent="0.25">
      <c r="F552" s="74"/>
    </row>
    <row r="553" spans="6:6" x14ac:dyDescent="0.25">
      <c r="F553" s="74"/>
    </row>
    <row r="554" spans="6:6" x14ac:dyDescent="0.25">
      <c r="F554" s="74"/>
    </row>
    <row r="555" spans="6:6" x14ac:dyDescent="0.25">
      <c r="F555" s="74"/>
    </row>
    <row r="556" spans="6:6" x14ac:dyDescent="0.25">
      <c r="F556" s="74"/>
    </row>
    <row r="557" spans="6:6" x14ac:dyDescent="0.25">
      <c r="F557" s="74"/>
    </row>
    <row r="558" spans="6:6" x14ac:dyDescent="0.25">
      <c r="F558" s="74"/>
    </row>
    <row r="559" spans="6:6" x14ac:dyDescent="0.25">
      <c r="F559" s="74"/>
    </row>
    <row r="560" spans="6:6" x14ac:dyDescent="0.25">
      <c r="F560" s="74"/>
    </row>
    <row r="561" spans="6:6" x14ac:dyDescent="0.25">
      <c r="F561" s="74"/>
    </row>
    <row r="562" spans="6:6" x14ac:dyDescent="0.25">
      <c r="F562" s="74"/>
    </row>
    <row r="563" spans="6:6" x14ac:dyDescent="0.25">
      <c r="F563" s="74"/>
    </row>
    <row r="564" spans="6:6" x14ac:dyDescent="0.25">
      <c r="F564" s="74"/>
    </row>
    <row r="565" spans="6:6" x14ac:dyDescent="0.25">
      <c r="F565" s="74"/>
    </row>
    <row r="566" spans="6:6" x14ac:dyDescent="0.25">
      <c r="F566" s="74"/>
    </row>
    <row r="567" spans="6:6" x14ac:dyDescent="0.25">
      <c r="F567" s="74"/>
    </row>
    <row r="568" spans="6:6" x14ac:dyDescent="0.25">
      <c r="F568" s="74"/>
    </row>
    <row r="569" spans="6:6" x14ac:dyDescent="0.25">
      <c r="F569" s="74"/>
    </row>
    <row r="570" spans="6:6" x14ac:dyDescent="0.25">
      <c r="F570" s="74"/>
    </row>
    <row r="571" spans="6:6" x14ac:dyDescent="0.25">
      <c r="F571" s="74"/>
    </row>
    <row r="572" spans="6:6" x14ac:dyDescent="0.25">
      <c r="F572" s="74"/>
    </row>
    <row r="573" spans="6:6" x14ac:dyDescent="0.25">
      <c r="F573" s="74"/>
    </row>
    <row r="574" spans="6:6" x14ac:dyDescent="0.25">
      <c r="F574" s="74"/>
    </row>
    <row r="575" spans="6:6" x14ac:dyDescent="0.25">
      <c r="F575" s="74"/>
    </row>
    <row r="576" spans="6:6" x14ac:dyDescent="0.25">
      <c r="F576" s="74"/>
    </row>
    <row r="577" spans="6:6" x14ac:dyDescent="0.25">
      <c r="F577" s="74"/>
    </row>
    <row r="578" spans="6:6" x14ac:dyDescent="0.25">
      <c r="F578" s="74"/>
    </row>
    <row r="579" spans="6:6" x14ac:dyDescent="0.25">
      <c r="F579" s="74"/>
    </row>
    <row r="580" spans="6:6" x14ac:dyDescent="0.25">
      <c r="F580" s="74"/>
    </row>
    <row r="581" spans="6:6" x14ac:dyDescent="0.25">
      <c r="F581" s="74"/>
    </row>
    <row r="582" spans="6:6" x14ac:dyDescent="0.25">
      <c r="F582" s="74"/>
    </row>
    <row r="583" spans="6:6" x14ac:dyDescent="0.25">
      <c r="F583" s="74"/>
    </row>
    <row r="584" spans="6:6" x14ac:dyDescent="0.25">
      <c r="F584" s="74"/>
    </row>
    <row r="585" spans="6:6" x14ac:dyDescent="0.25">
      <c r="F585" s="74"/>
    </row>
    <row r="586" spans="6:6" x14ac:dyDescent="0.25">
      <c r="F586" s="74"/>
    </row>
    <row r="587" spans="6:6" x14ac:dyDescent="0.25">
      <c r="F587" s="74"/>
    </row>
    <row r="588" spans="6:6" x14ac:dyDescent="0.25">
      <c r="F588" s="74"/>
    </row>
    <row r="589" spans="6:6" x14ac:dyDescent="0.25">
      <c r="F589" s="74"/>
    </row>
    <row r="590" spans="6:6" x14ac:dyDescent="0.25">
      <c r="F590" s="74"/>
    </row>
    <row r="591" spans="6:6" x14ac:dyDescent="0.25">
      <c r="F591" s="74"/>
    </row>
    <row r="592" spans="6:6" x14ac:dyDescent="0.25">
      <c r="F592" s="74"/>
    </row>
    <row r="593" spans="6:6" x14ac:dyDescent="0.25">
      <c r="F593" s="74"/>
    </row>
    <row r="594" spans="6:6" x14ac:dyDescent="0.25">
      <c r="F594" s="74"/>
    </row>
    <row r="595" spans="6:6" x14ac:dyDescent="0.25">
      <c r="F595" s="74"/>
    </row>
    <row r="596" spans="6:6" x14ac:dyDescent="0.25">
      <c r="F596" s="74"/>
    </row>
    <row r="597" spans="6:6" x14ac:dyDescent="0.25">
      <c r="F597" s="74"/>
    </row>
    <row r="598" spans="6:6" x14ac:dyDescent="0.25">
      <c r="F598" s="74"/>
    </row>
    <row r="599" spans="6:6" x14ac:dyDescent="0.25">
      <c r="F599" s="74"/>
    </row>
    <row r="600" spans="6:6" x14ac:dyDescent="0.25">
      <c r="F600" s="74"/>
    </row>
    <row r="601" spans="6:6" x14ac:dyDescent="0.25">
      <c r="F601" s="74"/>
    </row>
    <row r="602" spans="6:6" x14ac:dyDescent="0.25">
      <c r="F602" s="74"/>
    </row>
    <row r="603" spans="6:6" x14ac:dyDescent="0.25">
      <c r="F603" s="74"/>
    </row>
    <row r="604" spans="6:6" x14ac:dyDescent="0.25">
      <c r="F604" s="74"/>
    </row>
    <row r="605" spans="6:6" x14ac:dyDescent="0.25">
      <c r="F605" s="74"/>
    </row>
    <row r="606" spans="6:6" x14ac:dyDescent="0.25">
      <c r="F606" s="74"/>
    </row>
    <row r="607" spans="6:6" x14ac:dyDescent="0.25">
      <c r="F607" s="74"/>
    </row>
    <row r="608" spans="6:6" x14ac:dyDescent="0.25">
      <c r="F608" s="74"/>
    </row>
    <row r="609" spans="6:6" x14ac:dyDescent="0.25">
      <c r="F609" s="74"/>
    </row>
    <row r="610" spans="6:6" x14ac:dyDescent="0.25">
      <c r="F610" s="74"/>
    </row>
    <row r="611" spans="6:6" x14ac:dyDescent="0.25">
      <c r="F611" s="74"/>
    </row>
    <row r="612" spans="6:6" x14ac:dyDescent="0.25">
      <c r="F612" s="74"/>
    </row>
    <row r="613" spans="6:6" x14ac:dyDescent="0.25">
      <c r="F613" s="74"/>
    </row>
    <row r="614" spans="6:6" x14ac:dyDescent="0.25">
      <c r="F614" s="74"/>
    </row>
    <row r="615" spans="6:6" x14ac:dyDescent="0.25">
      <c r="F615" s="74"/>
    </row>
    <row r="616" spans="6:6" x14ac:dyDescent="0.25">
      <c r="F616" s="74"/>
    </row>
    <row r="617" spans="6:6" x14ac:dyDescent="0.25">
      <c r="F617" s="74"/>
    </row>
    <row r="618" spans="6:6" x14ac:dyDescent="0.25">
      <c r="F618" s="74"/>
    </row>
    <row r="619" spans="6:6" x14ac:dyDescent="0.25">
      <c r="F619" s="74"/>
    </row>
    <row r="620" spans="6:6" x14ac:dyDescent="0.25">
      <c r="F620" s="74"/>
    </row>
    <row r="621" spans="6:6" x14ac:dyDescent="0.25">
      <c r="F621" s="74"/>
    </row>
    <row r="622" spans="6:6" x14ac:dyDescent="0.25">
      <c r="F622" s="74"/>
    </row>
    <row r="623" spans="6:6" x14ac:dyDescent="0.25">
      <c r="F623" s="74"/>
    </row>
    <row r="624" spans="6:6" x14ac:dyDescent="0.25">
      <c r="F624" s="74"/>
    </row>
    <row r="625" spans="6:6" x14ac:dyDescent="0.25">
      <c r="F625" s="74"/>
    </row>
    <row r="626" spans="6:6" x14ac:dyDescent="0.25">
      <c r="F626" s="74"/>
    </row>
    <row r="627" spans="6:6" x14ac:dyDescent="0.25">
      <c r="F627" s="74"/>
    </row>
    <row r="628" spans="6:6" x14ac:dyDescent="0.25">
      <c r="F628" s="74"/>
    </row>
    <row r="629" spans="6:6" x14ac:dyDescent="0.25">
      <c r="F629" s="74"/>
    </row>
    <row r="630" spans="6:6" x14ac:dyDescent="0.25">
      <c r="F630" s="74"/>
    </row>
    <row r="631" spans="6:6" x14ac:dyDescent="0.25">
      <c r="F631" s="74"/>
    </row>
    <row r="632" spans="6:6" x14ac:dyDescent="0.25">
      <c r="F632" s="74"/>
    </row>
    <row r="633" spans="6:6" x14ac:dyDescent="0.25">
      <c r="F633" s="74"/>
    </row>
    <row r="634" spans="6:6" x14ac:dyDescent="0.25">
      <c r="F634" s="74"/>
    </row>
    <row r="635" spans="6:6" x14ac:dyDescent="0.25">
      <c r="F635" s="74"/>
    </row>
    <row r="636" spans="6:6" x14ac:dyDescent="0.25">
      <c r="F636" s="74"/>
    </row>
    <row r="637" spans="6:6" x14ac:dyDescent="0.25">
      <c r="F637" s="74"/>
    </row>
    <row r="638" spans="6:6" x14ac:dyDescent="0.25">
      <c r="F638" s="74"/>
    </row>
    <row r="639" spans="6:6" x14ac:dyDescent="0.25">
      <c r="F639" s="74"/>
    </row>
    <row r="640" spans="6:6" x14ac:dyDescent="0.25">
      <c r="F640" s="74"/>
    </row>
    <row r="641" spans="6:6" x14ac:dyDescent="0.25">
      <c r="F641" s="74"/>
    </row>
    <row r="642" spans="6:6" x14ac:dyDescent="0.25">
      <c r="F642" s="74"/>
    </row>
    <row r="643" spans="6:6" x14ac:dyDescent="0.25">
      <c r="F643" s="74"/>
    </row>
    <row r="644" spans="6:6" x14ac:dyDescent="0.25">
      <c r="F644" s="74"/>
    </row>
    <row r="645" spans="6:6" x14ac:dyDescent="0.25">
      <c r="F645" s="74"/>
    </row>
    <row r="646" spans="6:6" x14ac:dyDescent="0.25">
      <c r="F646" s="74"/>
    </row>
    <row r="647" spans="6:6" x14ac:dyDescent="0.25">
      <c r="F647" s="74"/>
    </row>
    <row r="648" spans="6:6" x14ac:dyDescent="0.25">
      <c r="F648" s="74"/>
    </row>
    <row r="649" spans="6:6" x14ac:dyDescent="0.25">
      <c r="F649" s="74"/>
    </row>
    <row r="650" spans="6:6" x14ac:dyDescent="0.25">
      <c r="F650" s="74"/>
    </row>
    <row r="651" spans="6:6" x14ac:dyDescent="0.25">
      <c r="F651" s="74"/>
    </row>
    <row r="652" spans="6:6" x14ac:dyDescent="0.25">
      <c r="F652" s="74"/>
    </row>
    <row r="653" spans="6:6" x14ac:dyDescent="0.25">
      <c r="F653" s="74"/>
    </row>
    <row r="654" spans="6:6" x14ac:dyDescent="0.25">
      <c r="F654" s="74"/>
    </row>
    <row r="655" spans="6:6" x14ac:dyDescent="0.25">
      <c r="F655" s="74"/>
    </row>
    <row r="656" spans="6:6" x14ac:dyDescent="0.25">
      <c r="F656" s="74"/>
    </row>
    <row r="657" spans="6:6" x14ac:dyDescent="0.25">
      <c r="F657" s="74"/>
    </row>
    <row r="658" spans="6:6" x14ac:dyDescent="0.25">
      <c r="F658" s="74"/>
    </row>
    <row r="659" spans="6:6" x14ac:dyDescent="0.25">
      <c r="F659" s="74"/>
    </row>
    <row r="660" spans="6:6" x14ac:dyDescent="0.25">
      <c r="F660" s="74"/>
    </row>
    <row r="661" spans="6:6" x14ac:dyDescent="0.25">
      <c r="F661" s="74"/>
    </row>
    <row r="662" spans="6:6" x14ac:dyDescent="0.25">
      <c r="F662" s="74"/>
    </row>
    <row r="663" spans="6:6" x14ac:dyDescent="0.25">
      <c r="F663" s="74"/>
    </row>
    <row r="664" spans="6:6" x14ac:dyDescent="0.25">
      <c r="F664" s="74"/>
    </row>
    <row r="665" spans="6:6" x14ac:dyDescent="0.25">
      <c r="F665" s="74"/>
    </row>
    <row r="666" spans="6:6" x14ac:dyDescent="0.25">
      <c r="F666" s="74"/>
    </row>
    <row r="667" spans="6:6" x14ac:dyDescent="0.25">
      <c r="F667" s="74"/>
    </row>
    <row r="668" spans="6:6" x14ac:dyDescent="0.25">
      <c r="F668" s="74"/>
    </row>
    <row r="669" spans="6:6" x14ac:dyDescent="0.25">
      <c r="F669" s="74"/>
    </row>
    <row r="670" spans="6:6" x14ac:dyDescent="0.25">
      <c r="F670" s="74"/>
    </row>
    <row r="671" spans="6:6" x14ac:dyDescent="0.25">
      <c r="F671" s="74"/>
    </row>
    <row r="672" spans="6:6" x14ac:dyDescent="0.25">
      <c r="F672" s="74"/>
    </row>
    <row r="673" spans="6:6" x14ac:dyDescent="0.25">
      <c r="F673" s="74"/>
    </row>
    <row r="674" spans="6:6" x14ac:dyDescent="0.25">
      <c r="F674" s="74"/>
    </row>
    <row r="675" spans="6:6" x14ac:dyDescent="0.25">
      <c r="F675" s="74"/>
    </row>
    <row r="676" spans="6:6" x14ac:dyDescent="0.25">
      <c r="F676" s="74"/>
    </row>
    <row r="677" spans="6:6" x14ac:dyDescent="0.25">
      <c r="F677" s="74"/>
    </row>
    <row r="678" spans="6:6" x14ac:dyDescent="0.25">
      <c r="F678" s="74"/>
    </row>
    <row r="679" spans="6:6" x14ac:dyDescent="0.25">
      <c r="F679" s="74"/>
    </row>
    <row r="680" spans="6:6" x14ac:dyDescent="0.25">
      <c r="F680" s="74"/>
    </row>
    <row r="681" spans="6:6" x14ac:dyDescent="0.25">
      <c r="F681" s="74"/>
    </row>
    <row r="682" spans="6:6" x14ac:dyDescent="0.25">
      <c r="F682" s="74"/>
    </row>
    <row r="683" spans="6:6" x14ac:dyDescent="0.25">
      <c r="F683" s="74"/>
    </row>
    <row r="684" spans="6:6" x14ac:dyDescent="0.25">
      <c r="F684" s="74"/>
    </row>
    <row r="685" spans="6:6" x14ac:dyDescent="0.25">
      <c r="F685" s="74"/>
    </row>
    <row r="686" spans="6:6" x14ac:dyDescent="0.25">
      <c r="F686" s="74"/>
    </row>
    <row r="687" spans="6:6" x14ac:dyDescent="0.25">
      <c r="F687" s="74"/>
    </row>
    <row r="688" spans="6:6" x14ac:dyDescent="0.25">
      <c r="F688" s="74"/>
    </row>
    <row r="689" spans="6:6" x14ac:dyDescent="0.25">
      <c r="F689" s="74"/>
    </row>
    <row r="690" spans="6:6" x14ac:dyDescent="0.25">
      <c r="F690" s="74"/>
    </row>
    <row r="691" spans="6:6" x14ac:dyDescent="0.25">
      <c r="F691" s="74"/>
    </row>
    <row r="692" spans="6:6" x14ac:dyDescent="0.25">
      <c r="F692" s="74"/>
    </row>
    <row r="693" spans="6:6" x14ac:dyDescent="0.25">
      <c r="F693" s="74"/>
    </row>
    <row r="694" spans="6:6" x14ac:dyDescent="0.25">
      <c r="F694" s="74"/>
    </row>
    <row r="695" spans="6:6" x14ac:dyDescent="0.25">
      <c r="F695" s="74"/>
    </row>
    <row r="696" spans="6:6" x14ac:dyDescent="0.25">
      <c r="F696" s="74"/>
    </row>
    <row r="697" spans="6:6" x14ac:dyDescent="0.25">
      <c r="F697" s="74"/>
    </row>
    <row r="698" spans="6:6" x14ac:dyDescent="0.25">
      <c r="F698" s="74"/>
    </row>
    <row r="699" spans="6:6" x14ac:dyDescent="0.25">
      <c r="F699" s="74"/>
    </row>
    <row r="700" spans="6:6" x14ac:dyDescent="0.25">
      <c r="F700" s="74"/>
    </row>
    <row r="701" spans="6:6" x14ac:dyDescent="0.25">
      <c r="F701" s="74"/>
    </row>
    <row r="702" spans="6:6" x14ac:dyDescent="0.25">
      <c r="F702" s="74"/>
    </row>
    <row r="703" spans="6:6" x14ac:dyDescent="0.25">
      <c r="F703" s="74"/>
    </row>
    <row r="704" spans="6:6" x14ac:dyDescent="0.25">
      <c r="F704" s="74"/>
    </row>
    <row r="705" spans="6:6" x14ac:dyDescent="0.25">
      <c r="F705" s="74"/>
    </row>
    <row r="706" spans="6:6" x14ac:dyDescent="0.25">
      <c r="F706" s="74"/>
    </row>
    <row r="707" spans="6:6" x14ac:dyDescent="0.25">
      <c r="F707" s="74"/>
    </row>
    <row r="708" spans="6:6" x14ac:dyDescent="0.25">
      <c r="F708" s="74"/>
    </row>
    <row r="709" spans="6:6" x14ac:dyDescent="0.25">
      <c r="F709" s="74"/>
    </row>
    <row r="710" spans="6:6" x14ac:dyDescent="0.25">
      <c r="F710" s="74"/>
    </row>
    <row r="711" spans="6:6" x14ac:dyDescent="0.25">
      <c r="F711" s="74"/>
    </row>
    <row r="712" spans="6:6" x14ac:dyDescent="0.25">
      <c r="F712" s="74"/>
    </row>
    <row r="713" spans="6:6" x14ac:dyDescent="0.25">
      <c r="F713" s="74"/>
    </row>
    <row r="714" spans="6:6" x14ac:dyDescent="0.25">
      <c r="F714" s="74"/>
    </row>
    <row r="715" spans="6:6" x14ac:dyDescent="0.25">
      <c r="F715" s="74"/>
    </row>
    <row r="716" spans="6:6" x14ac:dyDescent="0.25">
      <c r="F716" s="74"/>
    </row>
    <row r="717" spans="6:6" x14ac:dyDescent="0.25">
      <c r="F717" s="74"/>
    </row>
    <row r="718" spans="6:6" x14ac:dyDescent="0.25">
      <c r="F718" s="74"/>
    </row>
    <row r="719" spans="6:6" x14ac:dyDescent="0.25">
      <c r="F719" s="74"/>
    </row>
    <row r="720" spans="6:6" x14ac:dyDescent="0.25">
      <c r="F720" s="74"/>
    </row>
    <row r="721" spans="6:6" x14ac:dyDescent="0.25">
      <c r="F721" s="74"/>
    </row>
    <row r="722" spans="6:6" x14ac:dyDescent="0.25">
      <c r="F722" s="74"/>
    </row>
    <row r="723" spans="6:6" x14ac:dyDescent="0.25">
      <c r="F723" s="74"/>
    </row>
    <row r="724" spans="6:6" x14ac:dyDescent="0.25">
      <c r="F724" s="74"/>
    </row>
    <row r="725" spans="6:6" x14ac:dyDescent="0.25">
      <c r="F725" s="74"/>
    </row>
    <row r="726" spans="6:6" x14ac:dyDescent="0.25">
      <c r="F726" s="74"/>
    </row>
    <row r="727" spans="6:6" x14ac:dyDescent="0.25">
      <c r="F727" s="74"/>
    </row>
    <row r="728" spans="6:6" x14ac:dyDescent="0.25">
      <c r="F728" s="74"/>
    </row>
    <row r="729" spans="6:6" x14ac:dyDescent="0.25">
      <c r="F729" s="74"/>
    </row>
    <row r="730" spans="6:6" x14ac:dyDescent="0.25">
      <c r="F730" s="74"/>
    </row>
    <row r="731" spans="6:6" x14ac:dyDescent="0.25">
      <c r="F731" s="74"/>
    </row>
    <row r="732" spans="6:6" x14ac:dyDescent="0.25">
      <c r="F732" s="74"/>
    </row>
    <row r="733" spans="6:6" x14ac:dyDescent="0.25">
      <c r="F733" s="74"/>
    </row>
    <row r="734" spans="6:6" x14ac:dyDescent="0.25">
      <c r="F734" s="74"/>
    </row>
    <row r="735" spans="6:6" x14ac:dyDescent="0.25">
      <c r="F735" s="74"/>
    </row>
    <row r="736" spans="6:6" x14ac:dyDescent="0.25">
      <c r="F736" s="74"/>
    </row>
    <row r="737" spans="6:6" x14ac:dyDescent="0.25">
      <c r="F737" s="74"/>
    </row>
    <row r="738" spans="6:6" x14ac:dyDescent="0.25">
      <c r="F738" s="74"/>
    </row>
    <row r="739" spans="6:6" x14ac:dyDescent="0.25">
      <c r="F739" s="74"/>
    </row>
    <row r="740" spans="6:6" x14ac:dyDescent="0.25">
      <c r="F740" s="74"/>
    </row>
    <row r="741" spans="6:6" x14ac:dyDescent="0.25">
      <c r="F741" s="74"/>
    </row>
    <row r="742" spans="6:6" x14ac:dyDescent="0.25">
      <c r="F742" s="74"/>
    </row>
    <row r="743" spans="6:6" x14ac:dyDescent="0.25">
      <c r="F743" s="74"/>
    </row>
    <row r="744" spans="6:6" x14ac:dyDescent="0.25">
      <c r="F744" s="74"/>
    </row>
    <row r="745" spans="6:6" x14ac:dyDescent="0.25">
      <c r="F745" s="74"/>
    </row>
    <row r="746" spans="6:6" x14ac:dyDescent="0.25">
      <c r="F746" s="74"/>
    </row>
    <row r="747" spans="6:6" x14ac:dyDescent="0.25">
      <c r="F747" s="74"/>
    </row>
    <row r="748" spans="6:6" x14ac:dyDescent="0.25">
      <c r="F748" s="74"/>
    </row>
    <row r="749" spans="6:6" x14ac:dyDescent="0.25">
      <c r="F749" s="74"/>
    </row>
    <row r="750" spans="6:6" x14ac:dyDescent="0.25">
      <c r="F750" s="74"/>
    </row>
    <row r="751" spans="6:6" x14ac:dyDescent="0.25">
      <c r="F751" s="74"/>
    </row>
    <row r="752" spans="6:6" x14ac:dyDescent="0.25">
      <c r="F752" s="74"/>
    </row>
    <row r="753" spans="6:6" x14ac:dyDescent="0.25">
      <c r="F753" s="74"/>
    </row>
    <row r="754" spans="6:6" x14ac:dyDescent="0.25">
      <c r="F754" s="74"/>
    </row>
    <row r="755" spans="6:6" x14ac:dyDescent="0.25">
      <c r="F755" s="74"/>
    </row>
    <row r="756" spans="6:6" x14ac:dyDescent="0.25">
      <c r="F756" s="74"/>
    </row>
    <row r="757" spans="6:6" x14ac:dyDescent="0.25">
      <c r="F757" s="74"/>
    </row>
    <row r="758" spans="6:6" x14ac:dyDescent="0.25">
      <c r="F758" s="74"/>
    </row>
    <row r="759" spans="6:6" x14ac:dyDescent="0.25">
      <c r="F759" s="74"/>
    </row>
    <row r="760" spans="6:6" x14ac:dyDescent="0.25">
      <c r="F760" s="74"/>
    </row>
    <row r="761" spans="6:6" x14ac:dyDescent="0.25">
      <c r="F761" s="74"/>
    </row>
    <row r="762" spans="6:6" x14ac:dyDescent="0.25">
      <c r="F762" s="74"/>
    </row>
    <row r="763" spans="6:6" x14ac:dyDescent="0.25">
      <c r="F763" s="74"/>
    </row>
    <row r="764" spans="6:6" x14ac:dyDescent="0.25">
      <c r="F764" s="74"/>
    </row>
    <row r="765" spans="6:6" x14ac:dyDescent="0.25">
      <c r="F765" s="74"/>
    </row>
    <row r="766" spans="6:6" x14ac:dyDescent="0.25">
      <c r="F766" s="74"/>
    </row>
    <row r="767" spans="6:6" x14ac:dyDescent="0.25">
      <c r="F767" s="74"/>
    </row>
    <row r="768" spans="6:6" x14ac:dyDescent="0.25">
      <c r="F768" s="74"/>
    </row>
    <row r="769" spans="6:6" x14ac:dyDescent="0.25">
      <c r="F769" s="74"/>
    </row>
    <row r="770" spans="6:6" x14ac:dyDescent="0.25">
      <c r="F770" s="74"/>
    </row>
    <row r="771" spans="6:6" x14ac:dyDescent="0.25">
      <c r="F771" s="74"/>
    </row>
    <row r="772" spans="6:6" x14ac:dyDescent="0.25">
      <c r="F772" s="74"/>
    </row>
    <row r="773" spans="6:6" x14ac:dyDescent="0.25">
      <c r="F773" s="74"/>
    </row>
    <row r="774" spans="6:6" x14ac:dyDescent="0.25">
      <c r="F774" s="74"/>
    </row>
    <row r="775" spans="6:6" x14ac:dyDescent="0.25">
      <c r="F775" s="74"/>
    </row>
    <row r="776" spans="6:6" x14ac:dyDescent="0.25">
      <c r="F776" s="74"/>
    </row>
    <row r="777" spans="6:6" x14ac:dyDescent="0.25">
      <c r="F777" s="74"/>
    </row>
    <row r="778" spans="6:6" x14ac:dyDescent="0.25">
      <c r="F778" s="74"/>
    </row>
    <row r="779" spans="6:6" x14ac:dyDescent="0.25">
      <c r="F779" s="74"/>
    </row>
    <row r="780" spans="6:6" x14ac:dyDescent="0.25">
      <c r="F780" s="74"/>
    </row>
    <row r="781" spans="6:6" x14ac:dyDescent="0.25">
      <c r="F781" s="74"/>
    </row>
    <row r="782" spans="6:6" x14ac:dyDescent="0.25">
      <c r="F782" s="74"/>
    </row>
    <row r="783" spans="6:6" x14ac:dyDescent="0.25">
      <c r="F783" s="74"/>
    </row>
    <row r="784" spans="6:6" x14ac:dyDescent="0.25">
      <c r="F784" s="74"/>
    </row>
    <row r="785" spans="6:6" x14ac:dyDescent="0.25">
      <c r="F785" s="74"/>
    </row>
    <row r="786" spans="6:6" x14ac:dyDescent="0.25">
      <c r="F786" s="74"/>
    </row>
    <row r="787" spans="6:6" x14ac:dyDescent="0.25">
      <c r="F787" s="74"/>
    </row>
    <row r="788" spans="6:6" x14ac:dyDescent="0.25">
      <c r="F788" s="74"/>
    </row>
    <row r="789" spans="6:6" x14ac:dyDescent="0.25">
      <c r="F789" s="74"/>
    </row>
    <row r="790" spans="6:6" x14ac:dyDescent="0.25">
      <c r="F790" s="74"/>
    </row>
    <row r="791" spans="6:6" x14ac:dyDescent="0.25">
      <c r="F791" s="74"/>
    </row>
    <row r="792" spans="6:6" x14ac:dyDescent="0.25">
      <c r="F792" s="74"/>
    </row>
    <row r="793" spans="6:6" x14ac:dyDescent="0.25">
      <c r="F793" s="74"/>
    </row>
    <row r="794" spans="6:6" x14ac:dyDescent="0.25">
      <c r="F794" s="74"/>
    </row>
    <row r="795" spans="6:6" x14ac:dyDescent="0.25">
      <c r="F795" s="74"/>
    </row>
    <row r="796" spans="6:6" x14ac:dyDescent="0.25">
      <c r="F796" s="74"/>
    </row>
    <row r="797" spans="6:6" x14ac:dyDescent="0.25">
      <c r="F797" s="74"/>
    </row>
    <row r="798" spans="6:6" x14ac:dyDescent="0.25">
      <c r="F798" s="74"/>
    </row>
    <row r="799" spans="6:6" x14ac:dyDescent="0.25">
      <c r="F799" s="74"/>
    </row>
    <row r="800" spans="6:6" x14ac:dyDescent="0.25">
      <c r="F800" s="74"/>
    </row>
    <row r="801" spans="6:6" x14ac:dyDescent="0.25">
      <c r="F801" s="74"/>
    </row>
    <row r="802" spans="6:6" x14ac:dyDescent="0.25">
      <c r="F802" s="74"/>
    </row>
    <row r="803" spans="6:6" x14ac:dyDescent="0.25">
      <c r="F803" s="74"/>
    </row>
    <row r="804" spans="6:6" x14ac:dyDescent="0.25">
      <c r="F804" s="74"/>
    </row>
    <row r="805" spans="6:6" x14ac:dyDescent="0.25">
      <c r="F805" s="74"/>
    </row>
    <row r="806" spans="6:6" x14ac:dyDescent="0.25">
      <c r="F806" s="74"/>
    </row>
    <row r="807" spans="6:6" x14ac:dyDescent="0.25">
      <c r="F807" s="74"/>
    </row>
    <row r="808" spans="6:6" x14ac:dyDescent="0.25">
      <c r="F808" s="74"/>
    </row>
    <row r="809" spans="6:6" x14ac:dyDescent="0.25">
      <c r="F809" s="74"/>
    </row>
    <row r="810" spans="6:6" x14ac:dyDescent="0.25">
      <c r="F810" s="74"/>
    </row>
    <row r="811" spans="6:6" x14ac:dyDescent="0.25">
      <c r="F811" s="74"/>
    </row>
    <row r="812" spans="6:6" x14ac:dyDescent="0.25">
      <c r="F812" s="74"/>
    </row>
    <row r="813" spans="6:6" x14ac:dyDescent="0.25">
      <c r="F813" s="74"/>
    </row>
    <row r="814" spans="6:6" x14ac:dyDescent="0.25">
      <c r="F814" s="74"/>
    </row>
    <row r="815" spans="6:6" x14ac:dyDescent="0.25">
      <c r="F815" s="74"/>
    </row>
    <row r="816" spans="6:6" x14ac:dyDescent="0.25">
      <c r="F816" s="74"/>
    </row>
    <row r="817" spans="6:6" x14ac:dyDescent="0.25">
      <c r="F817" s="74"/>
    </row>
    <row r="818" spans="6:6" x14ac:dyDescent="0.25">
      <c r="F818" s="74"/>
    </row>
    <row r="819" spans="6:6" x14ac:dyDescent="0.25">
      <c r="F819" s="74"/>
    </row>
    <row r="820" spans="6:6" x14ac:dyDescent="0.25">
      <c r="F820" s="74"/>
    </row>
    <row r="821" spans="6:6" x14ac:dyDescent="0.25">
      <c r="F821" s="74"/>
    </row>
    <row r="822" spans="6:6" x14ac:dyDescent="0.25">
      <c r="F822" s="74"/>
    </row>
    <row r="823" spans="6:6" x14ac:dyDescent="0.25">
      <c r="F823" s="74"/>
    </row>
    <row r="824" spans="6:6" x14ac:dyDescent="0.25">
      <c r="F824" s="74"/>
    </row>
    <row r="825" spans="6:6" x14ac:dyDescent="0.25">
      <c r="F825" s="74"/>
    </row>
    <row r="826" spans="6:6" x14ac:dyDescent="0.25">
      <c r="F826" s="74"/>
    </row>
    <row r="827" spans="6:6" x14ac:dyDescent="0.25">
      <c r="F827" s="74"/>
    </row>
    <row r="828" spans="6:6" x14ac:dyDescent="0.25">
      <c r="F828" s="74"/>
    </row>
    <row r="829" spans="6:6" x14ac:dyDescent="0.25">
      <c r="F829" s="74"/>
    </row>
    <row r="830" spans="6:6" x14ac:dyDescent="0.25">
      <c r="F830" s="74"/>
    </row>
    <row r="831" spans="6:6" x14ac:dyDescent="0.25">
      <c r="F831" s="74"/>
    </row>
    <row r="832" spans="6:6" x14ac:dyDescent="0.25">
      <c r="F832" s="74"/>
    </row>
    <row r="833" spans="6:6" x14ac:dyDescent="0.25">
      <c r="F833" s="74"/>
    </row>
    <row r="834" spans="6:6" x14ac:dyDescent="0.25">
      <c r="F834" s="74"/>
    </row>
    <row r="835" spans="6:6" x14ac:dyDescent="0.25">
      <c r="F835" s="74"/>
    </row>
    <row r="836" spans="6:6" x14ac:dyDescent="0.25">
      <c r="F836" s="74"/>
    </row>
    <row r="837" spans="6:6" x14ac:dyDescent="0.25">
      <c r="F837" s="74"/>
    </row>
    <row r="838" spans="6:6" x14ac:dyDescent="0.25">
      <c r="F838" s="74"/>
    </row>
    <row r="839" spans="6:6" x14ac:dyDescent="0.25">
      <c r="F839" s="74"/>
    </row>
    <row r="840" spans="6:6" x14ac:dyDescent="0.25">
      <c r="F840" s="74"/>
    </row>
    <row r="841" spans="6:6" x14ac:dyDescent="0.25">
      <c r="F841" s="74"/>
    </row>
    <row r="842" spans="6:6" x14ac:dyDescent="0.25">
      <c r="F842" s="74"/>
    </row>
    <row r="843" spans="6:6" x14ac:dyDescent="0.25">
      <c r="F843" s="74"/>
    </row>
    <row r="844" spans="6:6" x14ac:dyDescent="0.25">
      <c r="F844" s="74"/>
    </row>
    <row r="845" spans="6:6" x14ac:dyDescent="0.25">
      <c r="F845" s="74"/>
    </row>
    <row r="846" spans="6:6" x14ac:dyDescent="0.25">
      <c r="F846" s="74"/>
    </row>
    <row r="847" spans="6:6" x14ac:dyDescent="0.25">
      <c r="F847" s="74"/>
    </row>
    <row r="848" spans="6:6" x14ac:dyDescent="0.25">
      <c r="F848" s="74"/>
    </row>
    <row r="849" spans="6:6" x14ac:dyDescent="0.25">
      <c r="F849" s="74"/>
    </row>
    <row r="850" spans="6:6" x14ac:dyDescent="0.25">
      <c r="F850" s="74"/>
    </row>
    <row r="851" spans="6:6" x14ac:dyDescent="0.25">
      <c r="F851" s="74"/>
    </row>
    <row r="852" spans="6:6" x14ac:dyDescent="0.25">
      <c r="F852" s="74"/>
    </row>
    <row r="853" spans="6:6" x14ac:dyDescent="0.25">
      <c r="F853" s="74"/>
    </row>
    <row r="854" spans="6:6" x14ac:dyDescent="0.25">
      <c r="F854" s="74"/>
    </row>
    <row r="855" spans="6:6" x14ac:dyDescent="0.25">
      <c r="F855" s="74"/>
    </row>
    <row r="856" spans="6:6" x14ac:dyDescent="0.25">
      <c r="F856" s="74"/>
    </row>
    <row r="857" spans="6:6" x14ac:dyDescent="0.25">
      <c r="F857" s="74"/>
    </row>
    <row r="858" spans="6:6" x14ac:dyDescent="0.25">
      <c r="F858" s="74"/>
    </row>
    <row r="859" spans="6:6" x14ac:dyDescent="0.25">
      <c r="F859" s="74"/>
    </row>
    <row r="860" spans="6:6" x14ac:dyDescent="0.25">
      <c r="F860" s="74"/>
    </row>
    <row r="861" spans="6:6" x14ac:dyDescent="0.25">
      <c r="F861" s="74"/>
    </row>
    <row r="862" spans="6:6" x14ac:dyDescent="0.25">
      <c r="F862" s="74"/>
    </row>
    <row r="863" spans="6:6" x14ac:dyDescent="0.25">
      <c r="F863" s="74"/>
    </row>
    <row r="864" spans="6:6" x14ac:dyDescent="0.25">
      <c r="F864" s="74"/>
    </row>
    <row r="865" spans="6:6" x14ac:dyDescent="0.25">
      <c r="F865" s="74"/>
    </row>
    <row r="866" spans="6:6" x14ac:dyDescent="0.25">
      <c r="F866" s="74"/>
    </row>
    <row r="867" spans="6:6" x14ac:dyDescent="0.25">
      <c r="F867" s="74"/>
    </row>
    <row r="868" spans="6:6" x14ac:dyDescent="0.25">
      <c r="F868" s="74"/>
    </row>
    <row r="869" spans="6:6" x14ac:dyDescent="0.25">
      <c r="F869" s="74"/>
    </row>
    <row r="870" spans="6:6" x14ac:dyDescent="0.25">
      <c r="F870" s="74"/>
    </row>
    <row r="871" spans="6:6" x14ac:dyDescent="0.25">
      <c r="F871" s="74"/>
    </row>
    <row r="872" spans="6:6" x14ac:dyDescent="0.25">
      <c r="F872" s="74"/>
    </row>
    <row r="873" spans="6:6" x14ac:dyDescent="0.25">
      <c r="F873" s="74"/>
    </row>
    <row r="874" spans="6:6" x14ac:dyDescent="0.25">
      <c r="F874" s="74"/>
    </row>
    <row r="875" spans="6:6" x14ac:dyDescent="0.25">
      <c r="F875" s="74"/>
    </row>
    <row r="876" spans="6:6" x14ac:dyDescent="0.25">
      <c r="F876" s="74"/>
    </row>
    <row r="877" spans="6:6" x14ac:dyDescent="0.25">
      <c r="F877" s="74"/>
    </row>
    <row r="878" spans="6:6" x14ac:dyDescent="0.25">
      <c r="F878" s="74"/>
    </row>
    <row r="879" spans="6:6" x14ac:dyDescent="0.25">
      <c r="F879" s="74"/>
    </row>
    <row r="880" spans="6:6" x14ac:dyDescent="0.25">
      <c r="F880" s="74"/>
    </row>
    <row r="881" spans="6:6" x14ac:dyDescent="0.25">
      <c r="F881" s="74"/>
    </row>
    <row r="882" spans="6:6" x14ac:dyDescent="0.25">
      <c r="F882" s="74"/>
    </row>
    <row r="883" spans="6:6" x14ac:dyDescent="0.25">
      <c r="F883" s="74"/>
    </row>
    <row r="884" spans="6:6" x14ac:dyDescent="0.25">
      <c r="F884" s="74"/>
    </row>
    <row r="885" spans="6:6" x14ac:dyDescent="0.25">
      <c r="F885" s="74"/>
    </row>
    <row r="886" spans="6:6" x14ac:dyDescent="0.25">
      <c r="F886" s="74"/>
    </row>
    <row r="887" spans="6:6" x14ac:dyDescent="0.25">
      <c r="F887" s="74"/>
    </row>
    <row r="888" spans="6:6" x14ac:dyDescent="0.25">
      <c r="F888" s="74"/>
    </row>
    <row r="889" spans="6:6" x14ac:dyDescent="0.25">
      <c r="F889" s="74"/>
    </row>
    <row r="890" spans="6:6" x14ac:dyDescent="0.25">
      <c r="F890" s="74"/>
    </row>
    <row r="891" spans="6:6" x14ac:dyDescent="0.25">
      <c r="F891" s="74"/>
    </row>
    <row r="892" spans="6:6" x14ac:dyDescent="0.25">
      <c r="F892" s="74"/>
    </row>
    <row r="893" spans="6:6" x14ac:dyDescent="0.25">
      <c r="F893" s="74"/>
    </row>
    <row r="894" spans="6:6" x14ac:dyDescent="0.25">
      <c r="F894" s="74"/>
    </row>
    <row r="895" spans="6:6" x14ac:dyDescent="0.25">
      <c r="F895" s="74"/>
    </row>
    <row r="896" spans="6:6" x14ac:dyDescent="0.25">
      <c r="F896" s="74"/>
    </row>
    <row r="897" spans="6:6" x14ac:dyDescent="0.25">
      <c r="F897" s="74"/>
    </row>
    <row r="898" spans="6:6" x14ac:dyDescent="0.25">
      <c r="F898" s="74"/>
    </row>
    <row r="899" spans="6:6" x14ac:dyDescent="0.25">
      <c r="F899" s="74"/>
    </row>
    <row r="900" spans="6:6" x14ac:dyDescent="0.25">
      <c r="F900" s="74"/>
    </row>
    <row r="901" spans="6:6" x14ac:dyDescent="0.25">
      <c r="F901" s="74"/>
    </row>
    <row r="902" spans="6:6" x14ac:dyDescent="0.25">
      <c r="F902" s="74"/>
    </row>
    <row r="903" spans="6:6" x14ac:dyDescent="0.25">
      <c r="F903" s="74"/>
    </row>
    <row r="904" spans="6:6" x14ac:dyDescent="0.25">
      <c r="F904" s="74"/>
    </row>
    <row r="905" spans="6:6" x14ac:dyDescent="0.25">
      <c r="F905" s="74"/>
    </row>
    <row r="906" spans="6:6" x14ac:dyDescent="0.25">
      <c r="F906" s="74"/>
    </row>
    <row r="907" spans="6:6" x14ac:dyDescent="0.25">
      <c r="F907" s="74"/>
    </row>
    <row r="908" spans="6:6" x14ac:dyDescent="0.25">
      <c r="F908" s="74"/>
    </row>
    <row r="909" spans="6:6" x14ac:dyDescent="0.25">
      <c r="F909" s="74"/>
    </row>
    <row r="910" spans="6:6" x14ac:dyDescent="0.25">
      <c r="F910" s="74"/>
    </row>
    <row r="911" spans="6:6" x14ac:dyDescent="0.25">
      <c r="F911" s="74"/>
    </row>
    <row r="912" spans="6:6" x14ac:dyDescent="0.25">
      <c r="F912" s="74"/>
    </row>
    <row r="913" spans="6:6" x14ac:dyDescent="0.25">
      <c r="F913" s="74"/>
    </row>
    <row r="914" spans="6:6" x14ac:dyDescent="0.25">
      <c r="F914" s="74"/>
    </row>
    <row r="915" spans="6:6" x14ac:dyDescent="0.25">
      <c r="F915" s="74"/>
    </row>
    <row r="916" spans="6:6" x14ac:dyDescent="0.25">
      <c r="F916" s="74"/>
    </row>
    <row r="917" spans="6:6" x14ac:dyDescent="0.25">
      <c r="F917" s="74"/>
    </row>
    <row r="918" spans="6:6" x14ac:dyDescent="0.25">
      <c r="F918" s="74"/>
    </row>
    <row r="919" spans="6:6" x14ac:dyDescent="0.25">
      <c r="F919" s="74"/>
    </row>
    <row r="920" spans="6:6" x14ac:dyDescent="0.25">
      <c r="F920" s="74"/>
    </row>
    <row r="921" spans="6:6" x14ac:dyDescent="0.25">
      <c r="F921" s="74"/>
    </row>
    <row r="922" spans="6:6" x14ac:dyDescent="0.25">
      <c r="F922" s="74"/>
    </row>
    <row r="923" spans="6:6" x14ac:dyDescent="0.25">
      <c r="F923" s="74"/>
    </row>
    <row r="924" spans="6:6" x14ac:dyDescent="0.25">
      <c r="F924" s="74"/>
    </row>
    <row r="925" spans="6:6" x14ac:dyDescent="0.25">
      <c r="F925" s="74"/>
    </row>
    <row r="926" spans="6:6" x14ac:dyDescent="0.25">
      <c r="F926" s="74"/>
    </row>
    <row r="927" spans="6:6" x14ac:dyDescent="0.25">
      <c r="F927" s="74"/>
    </row>
    <row r="928" spans="6:6" x14ac:dyDescent="0.25">
      <c r="F928" s="74"/>
    </row>
    <row r="929" spans="6:6" x14ac:dyDescent="0.25">
      <c r="F929" s="74"/>
    </row>
    <row r="930" spans="6:6" x14ac:dyDescent="0.25">
      <c r="F930" s="74"/>
    </row>
    <row r="931" spans="6:6" x14ac:dyDescent="0.25">
      <c r="F931" s="74"/>
    </row>
    <row r="932" spans="6:6" x14ac:dyDescent="0.25">
      <c r="F932" s="74"/>
    </row>
    <row r="933" spans="6:6" x14ac:dyDescent="0.25">
      <c r="F933" s="74"/>
    </row>
    <row r="934" spans="6:6" x14ac:dyDescent="0.25">
      <c r="F934" s="74"/>
    </row>
    <row r="935" spans="6:6" x14ac:dyDescent="0.25">
      <c r="F935" s="74"/>
    </row>
    <row r="936" spans="6:6" x14ac:dyDescent="0.25">
      <c r="F936" s="74"/>
    </row>
    <row r="937" spans="6:6" x14ac:dyDescent="0.25">
      <c r="F937" s="74"/>
    </row>
    <row r="938" spans="6:6" x14ac:dyDescent="0.25">
      <c r="F938" s="74"/>
    </row>
    <row r="939" spans="6:6" x14ac:dyDescent="0.25">
      <c r="F939" s="74"/>
    </row>
    <row r="940" spans="6:6" x14ac:dyDescent="0.25">
      <c r="F940" s="74"/>
    </row>
    <row r="941" spans="6:6" x14ac:dyDescent="0.25">
      <c r="F941" s="74"/>
    </row>
    <row r="942" spans="6:6" x14ac:dyDescent="0.25">
      <c r="F942" s="74"/>
    </row>
    <row r="943" spans="6:6" x14ac:dyDescent="0.25">
      <c r="F943" s="74"/>
    </row>
    <row r="944" spans="6:6" x14ac:dyDescent="0.25">
      <c r="F944" s="74"/>
    </row>
    <row r="945" spans="6:6" x14ac:dyDescent="0.25">
      <c r="F945" s="74"/>
    </row>
    <row r="946" spans="6:6" x14ac:dyDescent="0.25">
      <c r="F946" s="74"/>
    </row>
    <row r="947" spans="6:6" x14ac:dyDescent="0.25">
      <c r="F947" s="74"/>
    </row>
    <row r="948" spans="6:6" x14ac:dyDescent="0.25">
      <c r="F948" s="74"/>
    </row>
    <row r="949" spans="6:6" x14ac:dyDescent="0.25">
      <c r="F949" s="74"/>
    </row>
    <row r="950" spans="6:6" x14ac:dyDescent="0.25">
      <c r="F950" s="74"/>
    </row>
    <row r="951" spans="6:6" x14ac:dyDescent="0.25">
      <c r="F951" s="74"/>
    </row>
    <row r="952" spans="6:6" x14ac:dyDescent="0.25">
      <c r="F952" s="74"/>
    </row>
    <row r="953" spans="6:6" x14ac:dyDescent="0.25">
      <c r="F953" s="74"/>
    </row>
    <row r="954" spans="6:6" x14ac:dyDescent="0.25">
      <c r="F954" s="74"/>
    </row>
    <row r="955" spans="6:6" x14ac:dyDescent="0.25">
      <c r="F955" s="74"/>
    </row>
    <row r="956" spans="6:6" x14ac:dyDescent="0.25">
      <c r="F956" s="74"/>
    </row>
    <row r="957" spans="6:6" x14ac:dyDescent="0.25">
      <c r="F957" s="74"/>
    </row>
    <row r="958" spans="6:6" x14ac:dyDescent="0.25">
      <c r="F958" s="74"/>
    </row>
    <row r="959" spans="6:6" x14ac:dyDescent="0.25">
      <c r="F959" s="74"/>
    </row>
    <row r="960" spans="6:6" x14ac:dyDescent="0.25">
      <c r="F960" s="74"/>
    </row>
    <row r="961" spans="6:6" x14ac:dyDescent="0.25">
      <c r="F961" s="74"/>
    </row>
    <row r="962" spans="6:6" x14ac:dyDescent="0.25">
      <c r="F962" s="74"/>
    </row>
    <row r="963" spans="6:6" x14ac:dyDescent="0.25">
      <c r="F963" s="74"/>
    </row>
    <row r="964" spans="6:6" x14ac:dyDescent="0.25">
      <c r="F964" s="74"/>
    </row>
    <row r="965" spans="6:6" x14ac:dyDescent="0.25">
      <c r="F965" s="74"/>
    </row>
    <row r="966" spans="6:6" x14ac:dyDescent="0.25">
      <c r="F966" s="74"/>
    </row>
    <row r="967" spans="6:6" x14ac:dyDescent="0.25">
      <c r="F967" s="74"/>
    </row>
    <row r="968" spans="6:6" x14ac:dyDescent="0.25">
      <c r="F968" s="74"/>
    </row>
    <row r="969" spans="6:6" x14ac:dyDescent="0.25">
      <c r="F969" s="74"/>
    </row>
    <row r="970" spans="6:6" x14ac:dyDescent="0.25">
      <c r="F970" s="74"/>
    </row>
    <row r="971" spans="6:6" x14ac:dyDescent="0.25">
      <c r="F971" s="74"/>
    </row>
    <row r="972" spans="6:6" x14ac:dyDescent="0.25">
      <c r="F972" s="74"/>
    </row>
    <row r="973" spans="6:6" x14ac:dyDescent="0.25">
      <c r="F973" s="74"/>
    </row>
    <row r="974" spans="6:6" x14ac:dyDescent="0.25">
      <c r="F974" s="74"/>
    </row>
    <row r="975" spans="6:6" x14ac:dyDescent="0.25">
      <c r="F975" s="74"/>
    </row>
    <row r="976" spans="6:6" x14ac:dyDescent="0.25">
      <c r="F976" s="74"/>
    </row>
    <row r="977" spans="6:6" x14ac:dyDescent="0.25">
      <c r="F977" s="74"/>
    </row>
    <row r="978" spans="6:6" x14ac:dyDescent="0.25">
      <c r="F978" s="74"/>
    </row>
    <row r="979" spans="6:6" x14ac:dyDescent="0.25">
      <c r="F979" s="74"/>
    </row>
    <row r="980" spans="6:6" x14ac:dyDescent="0.25">
      <c r="F980" s="74"/>
    </row>
    <row r="981" spans="6:6" x14ac:dyDescent="0.25">
      <c r="F981" s="74"/>
    </row>
    <row r="982" spans="6:6" x14ac:dyDescent="0.25">
      <c r="F982" s="74"/>
    </row>
    <row r="983" spans="6:6" x14ac:dyDescent="0.25">
      <c r="F983" s="74"/>
    </row>
    <row r="984" spans="6:6" x14ac:dyDescent="0.25">
      <c r="F984" s="74"/>
    </row>
    <row r="985" spans="6:6" x14ac:dyDescent="0.25">
      <c r="F985" s="74"/>
    </row>
    <row r="986" spans="6:6" x14ac:dyDescent="0.25">
      <c r="F986" s="74"/>
    </row>
    <row r="987" spans="6:6" x14ac:dyDescent="0.25">
      <c r="F987" s="74"/>
    </row>
    <row r="988" spans="6:6" x14ac:dyDescent="0.25">
      <c r="F988" s="74"/>
    </row>
    <row r="989" spans="6:6" x14ac:dyDescent="0.25">
      <c r="F989" s="74"/>
    </row>
    <row r="990" spans="6:6" x14ac:dyDescent="0.25">
      <c r="F990" s="74"/>
    </row>
    <row r="991" spans="6:6" x14ac:dyDescent="0.25">
      <c r="F991" s="74"/>
    </row>
    <row r="992" spans="6:6" x14ac:dyDescent="0.25">
      <c r="F992" s="74"/>
    </row>
    <row r="993" spans="6:6" x14ac:dyDescent="0.25">
      <c r="F993" s="74"/>
    </row>
    <row r="994" spans="6:6" x14ac:dyDescent="0.25">
      <c r="F994" s="74"/>
    </row>
    <row r="995" spans="6:6" x14ac:dyDescent="0.25">
      <c r="F995" s="74"/>
    </row>
    <row r="996" spans="6:6" x14ac:dyDescent="0.25">
      <c r="F996" s="74"/>
    </row>
    <row r="997" spans="6:6" x14ac:dyDescent="0.25">
      <c r="F997" s="74"/>
    </row>
    <row r="998" spans="6:6" x14ac:dyDescent="0.25">
      <c r="F998" s="74"/>
    </row>
    <row r="999" spans="6:6" x14ac:dyDescent="0.25">
      <c r="F999" s="74"/>
    </row>
    <row r="1000" spans="6:6" x14ac:dyDescent="0.25">
      <c r="F1000" s="74"/>
    </row>
    <row r="1001" spans="6:6" x14ac:dyDescent="0.25">
      <c r="F1001" s="74"/>
    </row>
    <row r="1002" spans="6:6" x14ac:dyDescent="0.25">
      <c r="F1002" s="74"/>
    </row>
    <row r="1003" spans="6:6" x14ac:dyDescent="0.25">
      <c r="F1003" s="74"/>
    </row>
    <row r="1004" spans="6:6" x14ac:dyDescent="0.25">
      <c r="F1004" s="74"/>
    </row>
    <row r="1005" spans="6:6" x14ac:dyDescent="0.25">
      <c r="F1005" s="74"/>
    </row>
    <row r="1006" spans="6:6" x14ac:dyDescent="0.25">
      <c r="F1006" s="74"/>
    </row>
    <row r="1007" spans="6:6" x14ac:dyDescent="0.25">
      <c r="F1007" s="74"/>
    </row>
    <row r="1008" spans="6:6" x14ac:dyDescent="0.25">
      <c r="F1008" s="74"/>
    </row>
    <row r="1009" spans="6:6" x14ac:dyDescent="0.25">
      <c r="F1009" s="74"/>
    </row>
    <row r="1010" spans="6:6" x14ac:dyDescent="0.25">
      <c r="F1010" s="74"/>
    </row>
    <row r="1011" spans="6:6" x14ac:dyDescent="0.25">
      <c r="F1011" s="74"/>
    </row>
    <row r="1012" spans="6:6" x14ac:dyDescent="0.25">
      <c r="F1012" s="74"/>
    </row>
    <row r="1013" spans="6:6" x14ac:dyDescent="0.25">
      <c r="F1013" s="74"/>
    </row>
    <row r="1014" spans="6:6" x14ac:dyDescent="0.25">
      <c r="F1014" s="74"/>
    </row>
    <row r="1015" spans="6:6" x14ac:dyDescent="0.25">
      <c r="F1015" s="74"/>
    </row>
    <row r="1016" spans="6:6" x14ac:dyDescent="0.25">
      <c r="F1016" s="74"/>
    </row>
    <row r="1017" spans="6:6" x14ac:dyDescent="0.25">
      <c r="F1017" s="74"/>
    </row>
    <row r="1018" spans="6:6" x14ac:dyDescent="0.25">
      <c r="F1018" s="74"/>
    </row>
    <row r="1019" spans="6:6" x14ac:dyDescent="0.25">
      <c r="F1019" s="74"/>
    </row>
    <row r="1020" spans="6:6" x14ac:dyDescent="0.25">
      <c r="F1020" s="74"/>
    </row>
    <row r="1021" spans="6:6" x14ac:dyDescent="0.25">
      <c r="F1021" s="74"/>
    </row>
    <row r="1022" spans="6:6" x14ac:dyDescent="0.25">
      <c r="F1022" s="74"/>
    </row>
    <row r="1023" spans="6:6" x14ac:dyDescent="0.25">
      <c r="F1023" s="74"/>
    </row>
    <row r="1024" spans="6:6" x14ac:dyDescent="0.25">
      <c r="F1024" s="74"/>
    </row>
    <row r="1025" spans="6:6" x14ac:dyDescent="0.25">
      <c r="F1025" s="74"/>
    </row>
    <row r="1026" spans="6:6" x14ac:dyDescent="0.25">
      <c r="F1026" s="74"/>
    </row>
    <row r="1027" spans="6:6" x14ac:dyDescent="0.25">
      <c r="F1027" s="74"/>
    </row>
    <row r="1028" spans="6:6" x14ac:dyDescent="0.25">
      <c r="F1028" s="74"/>
    </row>
    <row r="1029" spans="6:6" x14ac:dyDescent="0.25">
      <c r="F1029" s="74"/>
    </row>
    <row r="1030" spans="6:6" x14ac:dyDescent="0.25">
      <c r="F1030" s="74"/>
    </row>
    <row r="1031" spans="6:6" x14ac:dyDescent="0.25">
      <c r="F1031" s="74"/>
    </row>
    <row r="1032" spans="6:6" x14ac:dyDescent="0.25">
      <c r="F1032" s="74"/>
    </row>
    <row r="1033" spans="6:6" x14ac:dyDescent="0.25">
      <c r="F1033" s="74"/>
    </row>
    <row r="1034" spans="6:6" x14ac:dyDescent="0.25">
      <c r="F1034" s="74"/>
    </row>
    <row r="1035" spans="6:6" x14ac:dyDescent="0.25">
      <c r="F1035" s="74"/>
    </row>
    <row r="1036" spans="6:6" x14ac:dyDescent="0.25">
      <c r="F1036" s="74"/>
    </row>
    <row r="1037" spans="6:6" x14ac:dyDescent="0.25">
      <c r="F1037" s="74"/>
    </row>
    <row r="1038" spans="6:6" x14ac:dyDescent="0.25">
      <c r="F1038" s="74"/>
    </row>
    <row r="1039" spans="6:6" x14ac:dyDescent="0.25">
      <c r="F1039" s="74"/>
    </row>
    <row r="1040" spans="6:6" x14ac:dyDescent="0.25">
      <c r="F1040" s="74"/>
    </row>
    <row r="1041" spans="6:6" x14ac:dyDescent="0.25">
      <c r="F1041" s="74"/>
    </row>
    <row r="1042" spans="6:6" x14ac:dyDescent="0.25">
      <c r="F1042" s="74"/>
    </row>
    <row r="1043" spans="6:6" x14ac:dyDescent="0.25">
      <c r="F1043" s="74"/>
    </row>
    <row r="1044" spans="6:6" x14ac:dyDescent="0.25">
      <c r="F1044" s="74"/>
    </row>
    <row r="1045" spans="6:6" x14ac:dyDescent="0.25">
      <c r="F1045" s="74"/>
    </row>
    <row r="1046" spans="6:6" x14ac:dyDescent="0.25">
      <c r="F1046" s="74"/>
    </row>
    <row r="1047" spans="6:6" x14ac:dyDescent="0.25">
      <c r="F1047" s="74"/>
    </row>
    <row r="1048" spans="6:6" x14ac:dyDescent="0.25">
      <c r="F1048" s="74"/>
    </row>
    <row r="1049" spans="6:6" x14ac:dyDescent="0.25">
      <c r="F1049" s="74"/>
    </row>
    <row r="1050" spans="6:6" x14ac:dyDescent="0.25">
      <c r="F1050" s="74"/>
    </row>
    <row r="1051" spans="6:6" x14ac:dyDescent="0.25">
      <c r="F1051" s="74"/>
    </row>
    <row r="1052" spans="6:6" x14ac:dyDescent="0.25">
      <c r="F1052" s="74"/>
    </row>
    <row r="1053" spans="6:6" x14ac:dyDescent="0.25">
      <c r="F1053" s="74"/>
    </row>
    <row r="1054" spans="6:6" x14ac:dyDescent="0.25">
      <c r="F1054" s="74"/>
    </row>
    <row r="1055" spans="6:6" x14ac:dyDescent="0.25">
      <c r="F1055" s="74"/>
    </row>
    <row r="1056" spans="6:6" x14ac:dyDescent="0.25">
      <c r="F1056" s="74"/>
    </row>
    <row r="1057" spans="6:6" x14ac:dyDescent="0.25">
      <c r="F1057" s="74"/>
    </row>
    <row r="1058" spans="6:6" x14ac:dyDescent="0.25">
      <c r="F1058" s="74"/>
    </row>
    <row r="1059" spans="6:6" x14ac:dyDescent="0.25">
      <c r="F1059" s="74"/>
    </row>
    <row r="1060" spans="6:6" x14ac:dyDescent="0.25">
      <c r="F1060" s="74"/>
    </row>
    <row r="1061" spans="6:6" x14ac:dyDescent="0.25">
      <c r="F1061" s="74"/>
    </row>
    <row r="1062" spans="6:6" x14ac:dyDescent="0.25">
      <c r="F1062" s="74"/>
    </row>
    <row r="1063" spans="6:6" x14ac:dyDescent="0.25">
      <c r="F1063" s="74"/>
    </row>
    <row r="1064" spans="6:6" x14ac:dyDescent="0.25">
      <c r="F1064" s="74"/>
    </row>
    <row r="1065" spans="6:6" x14ac:dyDescent="0.25">
      <c r="F1065" s="74"/>
    </row>
    <row r="1066" spans="6:6" x14ac:dyDescent="0.25">
      <c r="F1066" s="74"/>
    </row>
    <row r="1067" spans="6:6" x14ac:dyDescent="0.25">
      <c r="F1067" s="74"/>
    </row>
    <row r="1068" spans="6:6" x14ac:dyDescent="0.25">
      <c r="F1068" s="74"/>
    </row>
    <row r="1069" spans="6:6" x14ac:dyDescent="0.25">
      <c r="F1069" s="74"/>
    </row>
    <row r="1070" spans="6:6" x14ac:dyDescent="0.25">
      <c r="F1070" s="74"/>
    </row>
    <row r="1071" spans="6:6" x14ac:dyDescent="0.25">
      <c r="F1071" s="74"/>
    </row>
    <row r="1072" spans="6:6" x14ac:dyDescent="0.25">
      <c r="F1072" s="74"/>
    </row>
    <row r="1073" spans="6:6" x14ac:dyDescent="0.25">
      <c r="F1073" s="74"/>
    </row>
    <row r="1074" spans="6:6" x14ac:dyDescent="0.25">
      <c r="F1074" s="74"/>
    </row>
    <row r="1075" spans="6:6" x14ac:dyDescent="0.25">
      <c r="F1075" s="74"/>
    </row>
    <row r="1076" spans="6:6" x14ac:dyDescent="0.25">
      <c r="F1076" s="74"/>
    </row>
    <row r="1077" spans="6:6" x14ac:dyDescent="0.25">
      <c r="F1077" s="74"/>
    </row>
    <row r="1078" spans="6:6" x14ac:dyDescent="0.25">
      <c r="F1078" s="74"/>
    </row>
    <row r="1079" spans="6:6" x14ac:dyDescent="0.25">
      <c r="F1079" s="74"/>
    </row>
    <row r="1080" spans="6:6" x14ac:dyDescent="0.25">
      <c r="F1080" s="74"/>
    </row>
    <row r="1081" spans="6:6" x14ac:dyDescent="0.25">
      <c r="F1081" s="74"/>
    </row>
    <row r="1082" spans="6:6" x14ac:dyDescent="0.25">
      <c r="F1082" s="74"/>
    </row>
    <row r="1083" spans="6:6" x14ac:dyDescent="0.25">
      <c r="F1083" s="74"/>
    </row>
    <row r="1084" spans="6:6" x14ac:dyDescent="0.25">
      <c r="F1084" s="74"/>
    </row>
    <row r="1085" spans="6:6" x14ac:dyDescent="0.25">
      <c r="F1085" s="74"/>
    </row>
    <row r="1086" spans="6:6" x14ac:dyDescent="0.25">
      <c r="F1086" s="74"/>
    </row>
    <row r="1087" spans="6:6" x14ac:dyDescent="0.25">
      <c r="F1087" s="74"/>
    </row>
    <row r="1088" spans="6:6" x14ac:dyDescent="0.25">
      <c r="F1088" s="74"/>
    </row>
    <row r="1089" spans="6:6" x14ac:dyDescent="0.25">
      <c r="F1089" s="74"/>
    </row>
    <row r="1090" spans="6:6" x14ac:dyDescent="0.25">
      <c r="F1090" s="74"/>
    </row>
    <row r="1091" spans="6:6" x14ac:dyDescent="0.25">
      <c r="F1091" s="74"/>
    </row>
    <row r="1092" spans="6:6" x14ac:dyDescent="0.25">
      <c r="F1092" s="74"/>
    </row>
    <row r="1093" spans="6:6" x14ac:dyDescent="0.25">
      <c r="F1093" s="74"/>
    </row>
    <row r="1094" spans="6:6" x14ac:dyDescent="0.25">
      <c r="F1094" s="74"/>
    </row>
    <row r="1095" spans="6:6" x14ac:dyDescent="0.25">
      <c r="F1095" s="74"/>
    </row>
    <row r="1096" spans="6:6" x14ac:dyDescent="0.25">
      <c r="F1096" s="74"/>
    </row>
    <row r="1097" spans="6:6" x14ac:dyDescent="0.25">
      <c r="F1097" s="74"/>
    </row>
    <row r="1098" spans="6:6" x14ac:dyDescent="0.25">
      <c r="F1098" s="74"/>
    </row>
    <row r="1099" spans="6:6" x14ac:dyDescent="0.25">
      <c r="F1099" s="74"/>
    </row>
    <row r="1100" spans="6:6" x14ac:dyDescent="0.25">
      <c r="F1100" s="74"/>
    </row>
    <row r="1101" spans="6:6" x14ac:dyDescent="0.25">
      <c r="F1101" s="74"/>
    </row>
    <row r="1102" spans="6:6" x14ac:dyDescent="0.25">
      <c r="F1102" s="74"/>
    </row>
    <row r="1103" spans="6:6" x14ac:dyDescent="0.25">
      <c r="F1103" s="74"/>
    </row>
    <row r="1104" spans="6:6" x14ac:dyDescent="0.25">
      <c r="F1104" s="74"/>
    </row>
    <row r="1105" spans="6:6" x14ac:dyDescent="0.25">
      <c r="F1105" s="74"/>
    </row>
    <row r="1106" spans="6:6" x14ac:dyDescent="0.25">
      <c r="F1106" s="74"/>
    </row>
    <row r="1107" spans="6:6" x14ac:dyDescent="0.25">
      <c r="F1107" s="74"/>
    </row>
    <row r="1108" spans="6:6" x14ac:dyDescent="0.25">
      <c r="F1108" s="74"/>
    </row>
    <row r="1109" spans="6:6" x14ac:dyDescent="0.25">
      <c r="F1109" s="74"/>
    </row>
    <row r="1110" spans="6:6" x14ac:dyDescent="0.25">
      <c r="F1110" s="74"/>
    </row>
    <row r="1111" spans="6:6" x14ac:dyDescent="0.25">
      <c r="F1111" s="74"/>
    </row>
    <row r="1112" spans="6:6" x14ac:dyDescent="0.25">
      <c r="F1112" s="74"/>
    </row>
    <row r="1113" spans="6:6" x14ac:dyDescent="0.25">
      <c r="F1113" s="74"/>
    </row>
    <row r="1114" spans="6:6" x14ac:dyDescent="0.25">
      <c r="F1114" s="74"/>
    </row>
    <row r="1115" spans="6:6" x14ac:dyDescent="0.25">
      <c r="F1115" s="74"/>
    </row>
    <row r="1116" spans="6:6" x14ac:dyDescent="0.25">
      <c r="F1116" s="74"/>
    </row>
    <row r="1117" spans="6:6" x14ac:dyDescent="0.25">
      <c r="F1117" s="74"/>
    </row>
    <row r="1118" spans="6:6" x14ac:dyDescent="0.25">
      <c r="F1118" s="74"/>
    </row>
    <row r="1119" spans="6:6" x14ac:dyDescent="0.25">
      <c r="F1119" s="74"/>
    </row>
    <row r="1120" spans="6:6" x14ac:dyDescent="0.25">
      <c r="F1120" s="74"/>
    </row>
    <row r="1121" spans="6:6" x14ac:dyDescent="0.25">
      <c r="F1121" s="74"/>
    </row>
    <row r="1122" spans="6:6" x14ac:dyDescent="0.25">
      <c r="F1122" s="74"/>
    </row>
    <row r="1123" spans="6:6" x14ac:dyDescent="0.25">
      <c r="F1123" s="74"/>
    </row>
    <row r="1124" spans="6:6" x14ac:dyDescent="0.25">
      <c r="F1124" s="74"/>
    </row>
    <row r="1125" spans="6:6" x14ac:dyDescent="0.25">
      <c r="F1125" s="74"/>
    </row>
    <row r="1126" spans="6:6" x14ac:dyDescent="0.25">
      <c r="F1126" s="74"/>
    </row>
    <row r="1127" spans="6:6" x14ac:dyDescent="0.25">
      <c r="F1127" s="74"/>
    </row>
    <row r="1128" spans="6:6" x14ac:dyDescent="0.25">
      <c r="F1128" s="74"/>
    </row>
    <row r="1129" spans="6:6" x14ac:dyDescent="0.25">
      <c r="F1129" s="74"/>
    </row>
    <row r="1130" spans="6:6" x14ac:dyDescent="0.25">
      <c r="F1130" s="74"/>
    </row>
    <row r="1131" spans="6:6" x14ac:dyDescent="0.25">
      <c r="F1131" s="74"/>
    </row>
    <row r="1132" spans="6:6" x14ac:dyDescent="0.25">
      <c r="F1132" s="74"/>
    </row>
    <row r="1133" spans="6:6" x14ac:dyDescent="0.25">
      <c r="F1133" s="74"/>
    </row>
    <row r="1134" spans="6:6" x14ac:dyDescent="0.25">
      <c r="F1134" s="74"/>
    </row>
    <row r="1135" spans="6:6" x14ac:dyDescent="0.25">
      <c r="F1135" s="74"/>
    </row>
    <row r="1136" spans="6:6" x14ac:dyDescent="0.25">
      <c r="F1136" s="74"/>
    </row>
    <row r="1137" spans="6:6" x14ac:dyDescent="0.25">
      <c r="F1137" s="74"/>
    </row>
    <row r="1138" spans="6:6" x14ac:dyDescent="0.25">
      <c r="F1138" s="74"/>
    </row>
    <row r="1139" spans="6:6" x14ac:dyDescent="0.25">
      <c r="F1139" s="74"/>
    </row>
    <row r="1140" spans="6:6" x14ac:dyDescent="0.25">
      <c r="F1140" s="74"/>
    </row>
    <row r="1141" spans="6:6" x14ac:dyDescent="0.25">
      <c r="F1141" s="74"/>
    </row>
    <row r="1142" spans="6:6" x14ac:dyDescent="0.25">
      <c r="F1142" s="74"/>
    </row>
    <row r="1143" spans="6:6" x14ac:dyDescent="0.25">
      <c r="F1143" s="74"/>
    </row>
    <row r="1144" spans="6:6" x14ac:dyDescent="0.25">
      <c r="F1144" s="74"/>
    </row>
    <row r="1145" spans="6:6" x14ac:dyDescent="0.25">
      <c r="F1145" s="74"/>
    </row>
    <row r="1146" spans="6:6" x14ac:dyDescent="0.25">
      <c r="F1146" s="74"/>
    </row>
    <row r="1147" spans="6:6" x14ac:dyDescent="0.25">
      <c r="F1147" s="74"/>
    </row>
    <row r="1148" spans="6:6" x14ac:dyDescent="0.25">
      <c r="F1148" s="74"/>
    </row>
    <row r="1149" spans="6:6" x14ac:dyDescent="0.25">
      <c r="F1149" s="74"/>
    </row>
    <row r="1150" spans="6:6" x14ac:dyDescent="0.25">
      <c r="F1150" s="74"/>
    </row>
    <row r="1151" spans="6:6" x14ac:dyDescent="0.25">
      <c r="F1151" s="74"/>
    </row>
    <row r="1152" spans="6:6" x14ac:dyDescent="0.25">
      <c r="F1152" s="74"/>
    </row>
    <row r="1153" spans="6:6" x14ac:dyDescent="0.25">
      <c r="F1153" s="74"/>
    </row>
    <row r="1154" spans="6:6" x14ac:dyDescent="0.25">
      <c r="F1154" s="74"/>
    </row>
    <row r="1155" spans="6:6" x14ac:dyDescent="0.25">
      <c r="F1155" s="74"/>
    </row>
    <row r="1156" spans="6:6" x14ac:dyDescent="0.25">
      <c r="F1156" s="74"/>
    </row>
    <row r="1157" spans="6:6" x14ac:dyDescent="0.25">
      <c r="F1157" s="74"/>
    </row>
    <row r="1158" spans="6:6" x14ac:dyDescent="0.25">
      <c r="F1158" s="74"/>
    </row>
    <row r="1159" spans="6:6" x14ac:dyDescent="0.25">
      <c r="F1159" s="74"/>
    </row>
    <row r="1160" spans="6:6" x14ac:dyDescent="0.25">
      <c r="F1160" s="74"/>
    </row>
    <row r="1161" spans="6:6" x14ac:dyDescent="0.25">
      <c r="F1161" s="74"/>
    </row>
    <row r="1162" spans="6:6" x14ac:dyDescent="0.25">
      <c r="F1162" s="74"/>
    </row>
    <row r="1163" spans="6:6" x14ac:dyDescent="0.25">
      <c r="F1163" s="74"/>
    </row>
    <row r="1164" spans="6:6" x14ac:dyDescent="0.25">
      <c r="F1164" s="74"/>
    </row>
    <row r="1165" spans="6:6" x14ac:dyDescent="0.25">
      <c r="F1165" s="74"/>
    </row>
    <row r="1166" spans="6:6" x14ac:dyDescent="0.25">
      <c r="F1166" s="74"/>
    </row>
    <row r="1167" spans="6:6" x14ac:dyDescent="0.25">
      <c r="F1167" s="74"/>
    </row>
    <row r="1168" spans="6:6" x14ac:dyDescent="0.25">
      <c r="F1168" s="74"/>
    </row>
    <row r="1169" spans="6:6" x14ac:dyDescent="0.25">
      <c r="F1169" s="74"/>
    </row>
    <row r="1170" spans="6:6" x14ac:dyDescent="0.25">
      <c r="F1170" s="74"/>
    </row>
    <row r="1171" spans="6:6" x14ac:dyDescent="0.25">
      <c r="F1171" s="74"/>
    </row>
    <row r="1172" spans="6:6" x14ac:dyDescent="0.25">
      <c r="F1172" s="74"/>
    </row>
    <row r="1173" spans="6:6" x14ac:dyDescent="0.25">
      <c r="F1173" s="74"/>
    </row>
    <row r="1174" spans="6:6" x14ac:dyDescent="0.25">
      <c r="F1174" s="74"/>
    </row>
    <row r="1175" spans="6:6" x14ac:dyDescent="0.25">
      <c r="F1175" s="74"/>
    </row>
    <row r="1176" spans="6:6" x14ac:dyDescent="0.25">
      <c r="F1176" s="74"/>
    </row>
    <row r="1177" spans="6:6" x14ac:dyDescent="0.25">
      <c r="F1177" s="74"/>
    </row>
    <row r="1178" spans="6:6" x14ac:dyDescent="0.25">
      <c r="F1178" s="74"/>
    </row>
    <row r="1179" spans="6:6" x14ac:dyDescent="0.25">
      <c r="F1179" s="74"/>
    </row>
    <row r="1180" spans="6:6" x14ac:dyDescent="0.25">
      <c r="F1180" s="74"/>
    </row>
    <row r="1181" spans="6:6" x14ac:dyDescent="0.25">
      <c r="F1181" s="74"/>
    </row>
    <row r="1182" spans="6:6" x14ac:dyDescent="0.25">
      <c r="F1182" s="74"/>
    </row>
    <row r="1183" spans="6:6" x14ac:dyDescent="0.25">
      <c r="F1183" s="74"/>
    </row>
    <row r="1184" spans="6:6" x14ac:dyDescent="0.25">
      <c r="F1184" s="74"/>
    </row>
    <row r="1185" spans="6:6" x14ac:dyDescent="0.25">
      <c r="F1185" s="74"/>
    </row>
    <row r="1186" spans="6:6" x14ac:dyDescent="0.25">
      <c r="F1186" s="74"/>
    </row>
    <row r="1187" spans="6:6" x14ac:dyDescent="0.25">
      <c r="F1187" s="74"/>
    </row>
    <row r="1188" spans="6:6" x14ac:dyDescent="0.25">
      <c r="F1188" s="74"/>
    </row>
    <row r="1189" spans="6:6" x14ac:dyDescent="0.25">
      <c r="F1189" s="74"/>
    </row>
    <row r="1190" spans="6:6" x14ac:dyDescent="0.25">
      <c r="F1190" s="74"/>
    </row>
    <row r="1191" spans="6:6" x14ac:dyDescent="0.25">
      <c r="F1191" s="74"/>
    </row>
    <row r="1192" spans="6:6" x14ac:dyDescent="0.25">
      <c r="F1192" s="74"/>
    </row>
    <row r="1193" spans="6:6" x14ac:dyDescent="0.25">
      <c r="F1193" s="74"/>
    </row>
    <row r="1194" spans="6:6" x14ac:dyDescent="0.25">
      <c r="F1194" s="74"/>
    </row>
    <row r="1195" spans="6:6" x14ac:dyDescent="0.25">
      <c r="F1195" s="74"/>
    </row>
    <row r="1196" spans="6:6" x14ac:dyDescent="0.25">
      <c r="F1196" s="74"/>
    </row>
    <row r="1197" spans="6:6" x14ac:dyDescent="0.25">
      <c r="F1197" s="74"/>
    </row>
    <row r="1198" spans="6:6" x14ac:dyDescent="0.25">
      <c r="F1198" s="74"/>
    </row>
    <row r="1199" spans="6:6" x14ac:dyDescent="0.25">
      <c r="F1199" s="74"/>
    </row>
    <row r="1200" spans="6:6" x14ac:dyDescent="0.25">
      <c r="F1200" s="74"/>
    </row>
    <row r="1201" spans="6:6" x14ac:dyDescent="0.25">
      <c r="F1201" s="74"/>
    </row>
    <row r="1202" spans="6:6" x14ac:dyDescent="0.25">
      <c r="F1202" s="74"/>
    </row>
    <row r="1203" spans="6:6" x14ac:dyDescent="0.25">
      <c r="F1203" s="74"/>
    </row>
    <row r="1204" spans="6:6" x14ac:dyDescent="0.25">
      <c r="F1204" s="74"/>
    </row>
    <row r="1205" spans="6:6" x14ac:dyDescent="0.25">
      <c r="F1205" s="74"/>
    </row>
    <row r="1206" spans="6:6" x14ac:dyDescent="0.25">
      <c r="F1206" s="74"/>
    </row>
    <row r="1207" spans="6:6" x14ac:dyDescent="0.25">
      <c r="F1207" s="74"/>
    </row>
    <row r="1208" spans="6:6" x14ac:dyDescent="0.25">
      <c r="F1208" s="74"/>
    </row>
    <row r="1209" spans="6:6" x14ac:dyDescent="0.25">
      <c r="F1209" s="74"/>
    </row>
    <row r="1210" spans="6:6" x14ac:dyDescent="0.25">
      <c r="F1210" s="74"/>
    </row>
    <row r="1211" spans="6:6" x14ac:dyDescent="0.25">
      <c r="F1211" s="74"/>
    </row>
    <row r="1212" spans="6:6" x14ac:dyDescent="0.25">
      <c r="F1212" s="74"/>
    </row>
    <row r="1213" spans="6:6" x14ac:dyDescent="0.25">
      <c r="F1213" s="74"/>
    </row>
    <row r="1214" spans="6:6" x14ac:dyDescent="0.25">
      <c r="F1214" s="74"/>
    </row>
    <row r="1215" spans="6:6" x14ac:dyDescent="0.25">
      <c r="F1215" s="74"/>
    </row>
    <row r="1216" spans="6:6" x14ac:dyDescent="0.25">
      <c r="F1216" s="74"/>
    </row>
    <row r="1217" spans="6:6" x14ac:dyDescent="0.25">
      <c r="F1217" s="74"/>
    </row>
    <row r="1218" spans="6:6" x14ac:dyDescent="0.25">
      <c r="F1218" s="74"/>
    </row>
    <row r="1219" spans="6:6" x14ac:dyDescent="0.25">
      <c r="F1219" s="74"/>
    </row>
    <row r="1220" spans="6:6" x14ac:dyDescent="0.25">
      <c r="F1220" s="74"/>
    </row>
    <row r="1221" spans="6:6" x14ac:dyDescent="0.25">
      <c r="F1221" s="74"/>
    </row>
    <row r="1222" spans="6:6" x14ac:dyDescent="0.25">
      <c r="F1222" s="74"/>
    </row>
    <row r="1223" spans="6:6" x14ac:dyDescent="0.25">
      <c r="F1223" s="74"/>
    </row>
    <row r="1224" spans="6:6" x14ac:dyDescent="0.25">
      <c r="F1224" s="74"/>
    </row>
    <row r="1225" spans="6:6" x14ac:dyDescent="0.25">
      <c r="F1225" s="74"/>
    </row>
    <row r="1226" spans="6:6" x14ac:dyDescent="0.25">
      <c r="F1226" s="74"/>
    </row>
    <row r="1227" spans="6:6" x14ac:dyDescent="0.25">
      <c r="F1227" s="74"/>
    </row>
    <row r="1228" spans="6:6" x14ac:dyDescent="0.25">
      <c r="F1228" s="74"/>
    </row>
    <row r="1229" spans="6:6" x14ac:dyDescent="0.25">
      <c r="F1229" s="74"/>
    </row>
    <row r="1230" spans="6:6" x14ac:dyDescent="0.25">
      <c r="F1230" s="74"/>
    </row>
    <row r="1231" spans="6:6" x14ac:dyDescent="0.25">
      <c r="F1231" s="74"/>
    </row>
    <row r="1232" spans="6:6" x14ac:dyDescent="0.25">
      <c r="F1232" s="74"/>
    </row>
    <row r="1233" spans="6:6" x14ac:dyDescent="0.25">
      <c r="F1233" s="74"/>
    </row>
    <row r="1234" spans="6:6" x14ac:dyDescent="0.25">
      <c r="F1234" s="74"/>
    </row>
    <row r="1235" spans="6:6" x14ac:dyDescent="0.25">
      <c r="F1235" s="74"/>
    </row>
    <row r="1236" spans="6:6" x14ac:dyDescent="0.25">
      <c r="F1236" s="74"/>
    </row>
    <row r="1237" spans="6:6" x14ac:dyDescent="0.25">
      <c r="F1237" s="74"/>
    </row>
    <row r="1238" spans="6:6" x14ac:dyDescent="0.25">
      <c r="F1238" s="74"/>
    </row>
    <row r="1239" spans="6:6" x14ac:dyDescent="0.25">
      <c r="F1239" s="74"/>
    </row>
    <row r="1240" spans="6:6" x14ac:dyDescent="0.25">
      <c r="F1240" s="74"/>
    </row>
    <row r="1241" spans="6:6" x14ac:dyDescent="0.25">
      <c r="F1241" s="74"/>
    </row>
    <row r="1242" spans="6:6" x14ac:dyDescent="0.25">
      <c r="F1242" s="74"/>
    </row>
    <row r="1243" spans="6:6" x14ac:dyDescent="0.25">
      <c r="F1243" s="74"/>
    </row>
    <row r="1244" spans="6:6" x14ac:dyDescent="0.25">
      <c r="F1244" s="74"/>
    </row>
    <row r="1245" spans="6:6" x14ac:dyDescent="0.25">
      <c r="F1245" s="74"/>
    </row>
    <row r="1246" spans="6:6" x14ac:dyDescent="0.25">
      <c r="F1246" s="74"/>
    </row>
    <row r="1247" spans="6:6" x14ac:dyDescent="0.25">
      <c r="F1247" s="74"/>
    </row>
    <row r="1248" spans="6:6" x14ac:dyDescent="0.25">
      <c r="F1248" s="74"/>
    </row>
    <row r="1249" spans="6:6" x14ac:dyDescent="0.25">
      <c r="F1249" s="74"/>
    </row>
    <row r="1250" spans="6:6" x14ac:dyDescent="0.25">
      <c r="F1250" s="74"/>
    </row>
    <row r="1251" spans="6:6" x14ac:dyDescent="0.25">
      <c r="F1251" s="74"/>
    </row>
    <row r="1252" spans="6:6" x14ac:dyDescent="0.25">
      <c r="F1252" s="74"/>
    </row>
    <row r="1253" spans="6:6" x14ac:dyDescent="0.25">
      <c r="F1253" s="74"/>
    </row>
    <row r="1254" spans="6:6" x14ac:dyDescent="0.25">
      <c r="F1254" s="74"/>
    </row>
    <row r="1255" spans="6:6" x14ac:dyDescent="0.25">
      <c r="F1255" s="74"/>
    </row>
    <row r="1256" spans="6:6" x14ac:dyDescent="0.25">
      <c r="F1256" s="74"/>
    </row>
    <row r="1257" spans="6:6" x14ac:dyDescent="0.25">
      <c r="F1257" s="74"/>
    </row>
    <row r="1258" spans="6:6" x14ac:dyDescent="0.25">
      <c r="F1258" s="74"/>
    </row>
    <row r="1259" spans="6:6" x14ac:dyDescent="0.25">
      <c r="F1259" s="74"/>
    </row>
    <row r="1260" spans="6:6" x14ac:dyDescent="0.25">
      <c r="F1260" s="74"/>
    </row>
    <row r="1261" spans="6:6" x14ac:dyDescent="0.25">
      <c r="F1261" s="74"/>
    </row>
    <row r="1262" spans="6:6" x14ac:dyDescent="0.25">
      <c r="F1262" s="74"/>
    </row>
    <row r="1263" spans="6:6" x14ac:dyDescent="0.25">
      <c r="F1263" s="74"/>
    </row>
    <row r="1264" spans="6:6" x14ac:dyDescent="0.25">
      <c r="F1264" s="74"/>
    </row>
    <row r="1265" spans="6:6" x14ac:dyDescent="0.25">
      <c r="F1265" s="74"/>
    </row>
    <row r="1266" spans="6:6" x14ac:dyDescent="0.25">
      <c r="F1266" s="74"/>
    </row>
    <row r="1267" spans="6:6" x14ac:dyDescent="0.25">
      <c r="F1267" s="74"/>
    </row>
    <row r="1268" spans="6:6" x14ac:dyDescent="0.25">
      <c r="F1268" s="74"/>
    </row>
    <row r="1269" spans="6:6" x14ac:dyDescent="0.25">
      <c r="F1269" s="74"/>
    </row>
    <row r="1270" spans="6:6" x14ac:dyDescent="0.25">
      <c r="F1270" s="74"/>
    </row>
    <row r="1271" spans="6:6" x14ac:dyDescent="0.25">
      <c r="F1271" s="74"/>
    </row>
    <row r="1272" spans="6:6" x14ac:dyDescent="0.25">
      <c r="F1272" s="74"/>
    </row>
    <row r="1273" spans="6:6" x14ac:dyDescent="0.25">
      <c r="F1273" s="74"/>
    </row>
    <row r="1274" spans="6:6" x14ac:dyDescent="0.25">
      <c r="F1274" s="74"/>
    </row>
    <row r="1275" spans="6:6" x14ac:dyDescent="0.25">
      <c r="F1275" s="74"/>
    </row>
    <row r="1276" spans="6:6" x14ac:dyDescent="0.25">
      <c r="F1276" s="74"/>
    </row>
    <row r="1277" spans="6:6" x14ac:dyDescent="0.25">
      <c r="F1277" s="74"/>
    </row>
    <row r="1278" spans="6:6" x14ac:dyDescent="0.25">
      <c r="F1278" s="74"/>
    </row>
    <row r="1279" spans="6:6" x14ac:dyDescent="0.25">
      <c r="F1279" s="74"/>
    </row>
    <row r="1280" spans="6:6" x14ac:dyDescent="0.25">
      <c r="F1280" s="74"/>
    </row>
    <row r="1281" spans="6:6" x14ac:dyDescent="0.25">
      <c r="F1281" s="74"/>
    </row>
    <row r="1282" spans="6:6" x14ac:dyDescent="0.25">
      <c r="F1282" s="74"/>
    </row>
    <row r="1283" spans="6:6" x14ac:dyDescent="0.25">
      <c r="F1283" s="74"/>
    </row>
    <row r="1284" spans="6:6" x14ac:dyDescent="0.25">
      <c r="F1284" s="74"/>
    </row>
    <row r="1285" spans="6:6" x14ac:dyDescent="0.25">
      <c r="F1285" s="74"/>
    </row>
    <row r="1286" spans="6:6" x14ac:dyDescent="0.25">
      <c r="F1286" s="74"/>
    </row>
    <row r="1287" spans="6:6" x14ac:dyDescent="0.25">
      <c r="F1287" s="74"/>
    </row>
    <row r="1288" spans="6:6" x14ac:dyDescent="0.25">
      <c r="F1288" s="74"/>
    </row>
    <row r="1289" spans="6:6" x14ac:dyDescent="0.25">
      <c r="F1289" s="74"/>
    </row>
    <row r="1290" spans="6:6" x14ac:dyDescent="0.25">
      <c r="F1290" s="74"/>
    </row>
    <row r="1291" spans="6:6" x14ac:dyDescent="0.25">
      <c r="F1291" s="74"/>
    </row>
    <row r="1292" spans="6:6" x14ac:dyDescent="0.25">
      <c r="F1292" s="74"/>
    </row>
    <row r="1293" spans="6:6" x14ac:dyDescent="0.25">
      <c r="F1293" s="74"/>
    </row>
    <row r="1294" spans="6:6" x14ac:dyDescent="0.25">
      <c r="F1294" s="74"/>
    </row>
    <row r="1295" spans="6:6" x14ac:dyDescent="0.25">
      <c r="F1295" s="74"/>
    </row>
    <row r="1296" spans="6:6" x14ac:dyDescent="0.25">
      <c r="F1296" s="74"/>
    </row>
    <row r="1297" spans="6:6" x14ac:dyDescent="0.25">
      <c r="F1297" s="74"/>
    </row>
    <row r="1298" spans="6:6" x14ac:dyDescent="0.25">
      <c r="F1298" s="74"/>
    </row>
    <row r="1299" spans="6:6" x14ac:dyDescent="0.25">
      <c r="F1299" s="74"/>
    </row>
    <row r="1300" spans="6:6" x14ac:dyDescent="0.25">
      <c r="F1300" s="74"/>
    </row>
    <row r="1301" spans="6:6" x14ac:dyDescent="0.25">
      <c r="F1301" s="74"/>
    </row>
    <row r="1302" spans="6:6" x14ac:dyDescent="0.25">
      <c r="F1302" s="74"/>
    </row>
    <row r="1303" spans="6:6" x14ac:dyDescent="0.25">
      <c r="F1303" s="74"/>
    </row>
    <row r="1304" spans="6:6" x14ac:dyDescent="0.25">
      <c r="F1304" s="74"/>
    </row>
    <row r="1305" spans="6:6" x14ac:dyDescent="0.25">
      <c r="F1305" s="74"/>
    </row>
    <row r="1306" spans="6:6" x14ac:dyDescent="0.25">
      <c r="F1306" s="74"/>
    </row>
    <row r="1307" spans="6:6" x14ac:dyDescent="0.25">
      <c r="F1307" s="74"/>
    </row>
    <row r="1308" spans="6:6" x14ac:dyDescent="0.25">
      <c r="F1308" s="74"/>
    </row>
    <row r="1309" spans="6:6" x14ac:dyDescent="0.25">
      <c r="F1309" s="74"/>
    </row>
    <row r="1310" spans="6:6" x14ac:dyDescent="0.25">
      <c r="F1310" s="74"/>
    </row>
    <row r="1311" spans="6:6" x14ac:dyDescent="0.25">
      <c r="F1311" s="74"/>
    </row>
    <row r="1312" spans="6:6" x14ac:dyDescent="0.25">
      <c r="F1312" s="74"/>
    </row>
    <row r="1313" spans="6:6" x14ac:dyDescent="0.25">
      <c r="F1313" s="74"/>
    </row>
    <row r="1314" spans="6:6" x14ac:dyDescent="0.25">
      <c r="F1314" s="74"/>
    </row>
    <row r="1315" spans="6:6" x14ac:dyDescent="0.25">
      <c r="F1315" s="74"/>
    </row>
    <row r="1316" spans="6:6" x14ac:dyDescent="0.25">
      <c r="F1316" s="74"/>
    </row>
    <row r="1317" spans="6:6" x14ac:dyDescent="0.25">
      <c r="F1317" s="74"/>
    </row>
    <row r="1318" spans="6:6" x14ac:dyDescent="0.25">
      <c r="F1318" s="74"/>
    </row>
    <row r="1319" spans="6:6" x14ac:dyDescent="0.25">
      <c r="F1319" s="74"/>
    </row>
    <row r="1320" spans="6:6" x14ac:dyDescent="0.25">
      <c r="F1320" s="74"/>
    </row>
    <row r="1321" spans="6:6" x14ac:dyDescent="0.25">
      <c r="F1321" s="74"/>
    </row>
    <row r="1322" spans="6:6" x14ac:dyDescent="0.25">
      <c r="F1322" s="74"/>
    </row>
    <row r="1323" spans="6:6" x14ac:dyDescent="0.25">
      <c r="F1323" s="74"/>
    </row>
    <row r="1324" spans="6:6" x14ac:dyDescent="0.25">
      <c r="F1324" s="74"/>
    </row>
    <row r="1325" spans="6:6" x14ac:dyDescent="0.25">
      <c r="F1325" s="74"/>
    </row>
    <row r="1326" spans="6:6" x14ac:dyDescent="0.25">
      <c r="F1326" s="74"/>
    </row>
    <row r="1327" spans="6:6" x14ac:dyDescent="0.25">
      <c r="F1327" s="74"/>
    </row>
    <row r="1328" spans="6:6" x14ac:dyDescent="0.25">
      <c r="F1328" s="74"/>
    </row>
    <row r="1329" spans="6:6" x14ac:dyDescent="0.25">
      <c r="F1329" s="74"/>
    </row>
    <row r="1330" spans="6:6" x14ac:dyDescent="0.25">
      <c r="F1330" s="74"/>
    </row>
    <row r="1331" spans="6:6" x14ac:dyDescent="0.25">
      <c r="F1331" s="74"/>
    </row>
    <row r="1332" spans="6:6" x14ac:dyDescent="0.25">
      <c r="F1332" s="74"/>
    </row>
    <row r="1333" spans="6:6" x14ac:dyDescent="0.25">
      <c r="F1333" s="74"/>
    </row>
    <row r="1334" spans="6:6" x14ac:dyDescent="0.25">
      <c r="F1334" s="74"/>
    </row>
    <row r="1335" spans="6:6" x14ac:dyDescent="0.25">
      <c r="F1335" s="74"/>
    </row>
    <row r="1336" spans="6:6" x14ac:dyDescent="0.25">
      <c r="F1336" s="74"/>
    </row>
    <row r="1337" spans="6:6" x14ac:dyDescent="0.25">
      <c r="F1337" s="74"/>
    </row>
    <row r="1338" spans="6:6" x14ac:dyDescent="0.25">
      <c r="F1338" s="74"/>
    </row>
    <row r="1339" spans="6:6" x14ac:dyDescent="0.25">
      <c r="F1339" s="74"/>
    </row>
    <row r="1340" spans="6:6" x14ac:dyDescent="0.25">
      <c r="F1340" s="74"/>
    </row>
    <row r="1341" spans="6:6" x14ac:dyDescent="0.25">
      <c r="F1341" s="74"/>
    </row>
    <row r="1342" spans="6:6" x14ac:dyDescent="0.25">
      <c r="F1342" s="74"/>
    </row>
    <row r="1343" spans="6:6" x14ac:dyDescent="0.25">
      <c r="F1343" s="74"/>
    </row>
    <row r="1344" spans="6:6" x14ac:dyDescent="0.25">
      <c r="F1344" s="74"/>
    </row>
    <row r="1345" spans="6:6" x14ac:dyDescent="0.25">
      <c r="F1345" s="74"/>
    </row>
    <row r="1346" spans="6:6" x14ac:dyDescent="0.25">
      <c r="F1346" s="74"/>
    </row>
    <row r="1347" spans="6:6" x14ac:dyDescent="0.25">
      <c r="F1347" s="74"/>
    </row>
    <row r="1348" spans="6:6" x14ac:dyDescent="0.25">
      <c r="F1348" s="74"/>
    </row>
    <row r="1349" spans="6:6" x14ac:dyDescent="0.25">
      <c r="F1349" s="74"/>
    </row>
    <row r="1350" spans="6:6" x14ac:dyDescent="0.25">
      <c r="F1350" s="74"/>
    </row>
    <row r="1351" spans="6:6" x14ac:dyDescent="0.25">
      <c r="F1351" s="74"/>
    </row>
    <row r="1352" spans="6:6" x14ac:dyDescent="0.25">
      <c r="F1352" s="74"/>
    </row>
    <row r="1353" spans="6:6" x14ac:dyDescent="0.25">
      <c r="F1353" s="74"/>
    </row>
    <row r="1354" spans="6:6" x14ac:dyDescent="0.25">
      <c r="F1354" s="74"/>
    </row>
    <row r="1355" spans="6:6" x14ac:dyDescent="0.25">
      <c r="F1355" s="74"/>
    </row>
    <row r="1356" spans="6:6" x14ac:dyDescent="0.25">
      <c r="F1356" s="74"/>
    </row>
    <row r="1357" spans="6:6" x14ac:dyDescent="0.25">
      <c r="F1357" s="74"/>
    </row>
    <row r="1358" spans="6:6" x14ac:dyDescent="0.25">
      <c r="F1358" s="74"/>
    </row>
    <row r="1359" spans="6:6" x14ac:dyDescent="0.25">
      <c r="F1359" s="74"/>
    </row>
    <row r="1360" spans="6:6" x14ac:dyDescent="0.25">
      <c r="F1360" s="74"/>
    </row>
    <row r="1361" spans="6:6" x14ac:dyDescent="0.25">
      <c r="F1361" s="74"/>
    </row>
    <row r="1362" spans="6:6" x14ac:dyDescent="0.25">
      <c r="F1362" s="74"/>
    </row>
    <row r="1363" spans="6:6" x14ac:dyDescent="0.25">
      <c r="F1363" s="74"/>
    </row>
    <row r="1364" spans="6:6" x14ac:dyDescent="0.25">
      <c r="F1364" s="74"/>
    </row>
    <row r="1365" spans="6:6" x14ac:dyDescent="0.25">
      <c r="F1365" s="74"/>
    </row>
    <row r="1366" spans="6:6" x14ac:dyDescent="0.25">
      <c r="F1366" s="74"/>
    </row>
    <row r="1367" spans="6:6" x14ac:dyDescent="0.25">
      <c r="F1367" s="74"/>
    </row>
    <row r="1368" spans="6:6" x14ac:dyDescent="0.25">
      <c r="F1368" s="74"/>
    </row>
    <row r="1369" spans="6:6" x14ac:dyDescent="0.25">
      <c r="F1369" s="74"/>
    </row>
    <row r="1370" spans="6:6" x14ac:dyDescent="0.25">
      <c r="F1370" s="74"/>
    </row>
    <row r="1371" spans="6:6" x14ac:dyDescent="0.25">
      <c r="F1371" s="74"/>
    </row>
    <row r="1372" spans="6:6" x14ac:dyDescent="0.25">
      <c r="F1372" s="74"/>
    </row>
    <row r="1373" spans="6:6" x14ac:dyDescent="0.25">
      <c r="F1373" s="74"/>
    </row>
    <row r="1374" spans="6:6" x14ac:dyDescent="0.25">
      <c r="F1374" s="74"/>
    </row>
    <row r="1375" spans="6:6" x14ac:dyDescent="0.25">
      <c r="F1375" s="74"/>
    </row>
    <row r="1376" spans="6:6" x14ac:dyDescent="0.25">
      <c r="F1376" s="74"/>
    </row>
    <row r="1377" spans="6:6" x14ac:dyDescent="0.25">
      <c r="F1377" s="74"/>
    </row>
    <row r="1378" spans="6:6" x14ac:dyDescent="0.25">
      <c r="F1378" s="74"/>
    </row>
    <row r="1379" spans="6:6" x14ac:dyDescent="0.25">
      <c r="F1379" s="74"/>
    </row>
    <row r="1380" spans="6:6" x14ac:dyDescent="0.25">
      <c r="F1380" s="74"/>
    </row>
    <row r="1381" spans="6:6" x14ac:dyDescent="0.25">
      <c r="F1381" s="74"/>
    </row>
    <row r="1382" spans="6:6" x14ac:dyDescent="0.25">
      <c r="F1382" s="74"/>
    </row>
    <row r="1383" spans="6:6" x14ac:dyDescent="0.25">
      <c r="F1383" s="74"/>
    </row>
    <row r="1384" spans="6:6" x14ac:dyDescent="0.25">
      <c r="F1384" s="74"/>
    </row>
    <row r="1385" spans="6:6" x14ac:dyDescent="0.25">
      <c r="F1385" s="74"/>
    </row>
    <row r="1386" spans="6:6" x14ac:dyDescent="0.25">
      <c r="F1386" s="74"/>
    </row>
    <row r="1387" spans="6:6" x14ac:dyDescent="0.25">
      <c r="F1387" s="74"/>
    </row>
    <row r="1388" spans="6:6" x14ac:dyDescent="0.25">
      <c r="F1388" s="74"/>
    </row>
    <row r="1389" spans="6:6" x14ac:dyDescent="0.25">
      <c r="F1389" s="74"/>
    </row>
    <row r="1390" spans="6:6" x14ac:dyDescent="0.25">
      <c r="F1390" s="74"/>
    </row>
    <row r="1391" spans="6:6" x14ac:dyDescent="0.25">
      <c r="F1391" s="74"/>
    </row>
    <row r="1392" spans="6:6" x14ac:dyDescent="0.25">
      <c r="F1392" s="74"/>
    </row>
    <row r="1393" spans="6:6" x14ac:dyDescent="0.25">
      <c r="F1393" s="74"/>
    </row>
    <row r="1394" spans="6:6" x14ac:dyDescent="0.25">
      <c r="F1394" s="74"/>
    </row>
    <row r="1395" spans="6:6" x14ac:dyDescent="0.25">
      <c r="F1395" s="74"/>
    </row>
    <row r="1396" spans="6:6" x14ac:dyDescent="0.25">
      <c r="F1396" s="74"/>
    </row>
    <row r="1397" spans="6:6" x14ac:dyDescent="0.25">
      <c r="F1397" s="74"/>
    </row>
    <row r="1398" spans="6:6" x14ac:dyDescent="0.25">
      <c r="F1398" s="74"/>
    </row>
    <row r="1399" spans="6:6" x14ac:dyDescent="0.25">
      <c r="F1399" s="74"/>
    </row>
    <row r="1400" spans="6:6" x14ac:dyDescent="0.25">
      <c r="F1400" s="74"/>
    </row>
    <row r="1401" spans="6:6" x14ac:dyDescent="0.25">
      <c r="F1401" s="74"/>
    </row>
    <row r="1402" spans="6:6" x14ac:dyDescent="0.25">
      <c r="F1402" s="74"/>
    </row>
    <row r="1403" spans="6:6" x14ac:dyDescent="0.25">
      <c r="F1403" s="74"/>
    </row>
    <row r="1404" spans="6:6" x14ac:dyDescent="0.25">
      <c r="F1404" s="74"/>
    </row>
    <row r="1405" spans="6:6" x14ac:dyDescent="0.25">
      <c r="F1405" s="74"/>
    </row>
    <row r="1406" spans="6:6" x14ac:dyDescent="0.25">
      <c r="F1406" s="74"/>
    </row>
    <row r="1407" spans="6:6" x14ac:dyDescent="0.25">
      <c r="F1407" s="74"/>
    </row>
    <row r="1408" spans="6:6" x14ac:dyDescent="0.25">
      <c r="F1408" s="74"/>
    </row>
    <row r="1409" spans="6:6" x14ac:dyDescent="0.25">
      <c r="F1409" s="74"/>
    </row>
    <row r="1410" spans="6:6" x14ac:dyDescent="0.25">
      <c r="F1410" s="74"/>
    </row>
    <row r="1411" spans="6:6" x14ac:dyDescent="0.25">
      <c r="F1411" s="74"/>
    </row>
    <row r="1412" spans="6:6" x14ac:dyDescent="0.25">
      <c r="F1412" s="74"/>
    </row>
    <row r="1413" spans="6:6" x14ac:dyDescent="0.25">
      <c r="F1413" s="74"/>
    </row>
    <row r="1414" spans="6:6" x14ac:dyDescent="0.25">
      <c r="F1414" s="74"/>
    </row>
    <row r="1415" spans="6:6" x14ac:dyDescent="0.25">
      <c r="F1415" s="74"/>
    </row>
    <row r="1416" spans="6:6" x14ac:dyDescent="0.25">
      <c r="F1416" s="74"/>
    </row>
    <row r="1417" spans="6:6" x14ac:dyDescent="0.25">
      <c r="F1417" s="74"/>
    </row>
    <row r="1418" spans="6:6" x14ac:dyDescent="0.25">
      <c r="F1418" s="74"/>
    </row>
    <row r="1419" spans="6:6" x14ac:dyDescent="0.25">
      <c r="F1419" s="74"/>
    </row>
    <row r="1420" spans="6:6" x14ac:dyDescent="0.25">
      <c r="F1420" s="74"/>
    </row>
    <row r="1421" spans="6:6" x14ac:dyDescent="0.25">
      <c r="F1421" s="74"/>
    </row>
    <row r="1422" spans="6:6" x14ac:dyDescent="0.25">
      <c r="F1422" s="74"/>
    </row>
    <row r="1423" spans="6:6" x14ac:dyDescent="0.25">
      <c r="F1423" s="74"/>
    </row>
    <row r="1424" spans="6:6" x14ac:dyDescent="0.25">
      <c r="F1424" s="74"/>
    </row>
    <row r="1425" spans="6:6" x14ac:dyDescent="0.25">
      <c r="F1425" s="74"/>
    </row>
    <row r="1426" spans="6:6" x14ac:dyDescent="0.25">
      <c r="F1426" s="74"/>
    </row>
    <row r="1427" spans="6:6" x14ac:dyDescent="0.25">
      <c r="F1427" s="74"/>
    </row>
    <row r="1428" spans="6:6" x14ac:dyDescent="0.25">
      <c r="F1428" s="74"/>
    </row>
    <row r="1429" spans="6:6" x14ac:dyDescent="0.25">
      <c r="F1429" s="74"/>
    </row>
    <row r="1430" spans="6:6" x14ac:dyDescent="0.25">
      <c r="F1430" s="74"/>
    </row>
    <row r="1431" spans="6:6" x14ac:dyDescent="0.25">
      <c r="F1431" s="74"/>
    </row>
    <row r="1432" spans="6:6" x14ac:dyDescent="0.25">
      <c r="F1432" s="74"/>
    </row>
    <row r="1433" spans="6:6" x14ac:dyDescent="0.25">
      <c r="F1433" s="74"/>
    </row>
    <row r="1434" spans="6:6" x14ac:dyDescent="0.25">
      <c r="F1434" s="74"/>
    </row>
    <row r="1435" spans="6:6" x14ac:dyDescent="0.25">
      <c r="F1435" s="74"/>
    </row>
    <row r="1436" spans="6:6" x14ac:dyDescent="0.25">
      <c r="F1436" s="74"/>
    </row>
    <row r="1437" spans="6:6" x14ac:dyDescent="0.25">
      <c r="F1437" s="74"/>
    </row>
    <row r="1438" spans="6:6" x14ac:dyDescent="0.25">
      <c r="F1438" s="74"/>
    </row>
    <row r="1439" spans="6:6" x14ac:dyDescent="0.25">
      <c r="F1439" s="74"/>
    </row>
    <row r="1440" spans="6:6" x14ac:dyDescent="0.25">
      <c r="F1440" s="74"/>
    </row>
    <row r="1441" spans="6:6" x14ac:dyDescent="0.25">
      <c r="F1441" s="74"/>
    </row>
    <row r="1442" spans="6:6" x14ac:dyDescent="0.25">
      <c r="F1442" s="74"/>
    </row>
    <row r="1443" spans="6:6" x14ac:dyDescent="0.25">
      <c r="F1443" s="74"/>
    </row>
    <row r="1444" spans="6:6" x14ac:dyDescent="0.25">
      <c r="F1444" s="74"/>
    </row>
    <row r="1445" spans="6:6" x14ac:dyDescent="0.25">
      <c r="F1445" s="74"/>
    </row>
    <row r="1446" spans="6:6" x14ac:dyDescent="0.25">
      <c r="F1446" s="74"/>
    </row>
    <row r="1447" spans="6:6" x14ac:dyDescent="0.25">
      <c r="F1447" s="74"/>
    </row>
    <row r="1448" spans="6:6" x14ac:dyDescent="0.25">
      <c r="F1448" s="74"/>
    </row>
    <row r="1449" spans="6:6" x14ac:dyDescent="0.25">
      <c r="F1449" s="74"/>
    </row>
    <row r="1450" spans="6:6" x14ac:dyDescent="0.25">
      <c r="F1450" s="74"/>
    </row>
    <row r="1451" spans="6:6" x14ac:dyDescent="0.25">
      <c r="F1451" s="74"/>
    </row>
    <row r="1452" spans="6:6" x14ac:dyDescent="0.25">
      <c r="F1452" s="74"/>
    </row>
    <row r="1453" spans="6:6" x14ac:dyDescent="0.25">
      <c r="F1453" s="74"/>
    </row>
    <row r="1454" spans="6:6" x14ac:dyDescent="0.25">
      <c r="F1454" s="74"/>
    </row>
    <row r="1455" spans="6:6" x14ac:dyDescent="0.25">
      <c r="F1455" s="74"/>
    </row>
    <row r="1456" spans="6:6" x14ac:dyDescent="0.25">
      <c r="F1456" s="74"/>
    </row>
    <row r="1457" spans="6:6" x14ac:dyDescent="0.25">
      <c r="F1457" s="74"/>
    </row>
    <row r="1458" spans="6:6" x14ac:dyDescent="0.25">
      <c r="F1458" s="74"/>
    </row>
    <row r="1459" spans="6:6" x14ac:dyDescent="0.25">
      <c r="F1459" s="74"/>
    </row>
    <row r="1460" spans="6:6" x14ac:dyDescent="0.25">
      <c r="F1460" s="74"/>
    </row>
    <row r="1461" spans="6:6" x14ac:dyDescent="0.25">
      <c r="F1461" s="74"/>
    </row>
    <row r="1462" spans="6:6" x14ac:dyDescent="0.25">
      <c r="F1462" s="74"/>
    </row>
    <row r="1463" spans="6:6" x14ac:dyDescent="0.25">
      <c r="F1463" s="74"/>
    </row>
    <row r="1464" spans="6:6" x14ac:dyDescent="0.25">
      <c r="F1464" s="74"/>
    </row>
    <row r="1465" spans="6:6" x14ac:dyDescent="0.25">
      <c r="F1465" s="74"/>
    </row>
    <row r="1466" spans="6:6" x14ac:dyDescent="0.25">
      <c r="F1466" s="74"/>
    </row>
    <row r="1467" spans="6:6" x14ac:dyDescent="0.25">
      <c r="F1467" s="74"/>
    </row>
    <row r="1468" spans="6:6" x14ac:dyDescent="0.25">
      <c r="F1468" s="74"/>
    </row>
    <row r="1469" spans="6:6" x14ac:dyDescent="0.25">
      <c r="F1469" s="74"/>
    </row>
    <row r="1470" spans="6:6" x14ac:dyDescent="0.25">
      <c r="F1470" s="74"/>
    </row>
    <row r="1471" spans="6:6" x14ac:dyDescent="0.25">
      <c r="F1471" s="74"/>
    </row>
    <row r="1472" spans="6:6" x14ac:dyDescent="0.25">
      <c r="F1472" s="74"/>
    </row>
    <row r="1473" spans="6:6" x14ac:dyDescent="0.25">
      <c r="F1473" s="74"/>
    </row>
    <row r="1474" spans="6:6" x14ac:dyDescent="0.25">
      <c r="F1474" s="74"/>
    </row>
    <row r="1475" spans="6:6" x14ac:dyDescent="0.25">
      <c r="F1475" s="74"/>
    </row>
    <row r="1476" spans="6:6" x14ac:dyDescent="0.25">
      <c r="F1476" s="74"/>
    </row>
    <row r="1477" spans="6:6" x14ac:dyDescent="0.25">
      <c r="F1477" s="74"/>
    </row>
    <row r="1478" spans="6:6" x14ac:dyDescent="0.25">
      <c r="F1478" s="74"/>
    </row>
    <row r="1479" spans="6:6" x14ac:dyDescent="0.25">
      <c r="F1479" s="74"/>
    </row>
    <row r="1480" spans="6:6" x14ac:dyDescent="0.25">
      <c r="F1480" s="74"/>
    </row>
    <row r="1481" spans="6:6" x14ac:dyDescent="0.25">
      <c r="F1481" s="74"/>
    </row>
    <row r="1482" spans="6:6" x14ac:dyDescent="0.25">
      <c r="F1482" s="74"/>
    </row>
    <row r="1483" spans="6:6" x14ac:dyDescent="0.25">
      <c r="F1483" s="74"/>
    </row>
    <row r="1484" spans="6:6" x14ac:dyDescent="0.25">
      <c r="F1484" s="74"/>
    </row>
    <row r="1485" spans="6:6" x14ac:dyDescent="0.25">
      <c r="F1485" s="74"/>
    </row>
    <row r="1486" spans="6:6" x14ac:dyDescent="0.25">
      <c r="F1486" s="74"/>
    </row>
    <row r="1487" spans="6:6" x14ac:dyDescent="0.25">
      <c r="F1487" s="74"/>
    </row>
    <row r="1488" spans="6:6" x14ac:dyDescent="0.25">
      <c r="F1488" s="74"/>
    </row>
    <row r="1489" spans="6:6" x14ac:dyDescent="0.25">
      <c r="F1489" s="74"/>
    </row>
    <row r="1490" spans="6:6" x14ac:dyDescent="0.25">
      <c r="F1490" s="74"/>
    </row>
    <row r="1491" spans="6:6" x14ac:dyDescent="0.25">
      <c r="F1491" s="74"/>
    </row>
    <row r="1492" spans="6:6" x14ac:dyDescent="0.25">
      <c r="F1492" s="74"/>
    </row>
    <row r="1493" spans="6:6" x14ac:dyDescent="0.25">
      <c r="F1493" s="74"/>
    </row>
    <row r="1494" spans="6:6" x14ac:dyDescent="0.25">
      <c r="F1494" s="74"/>
    </row>
    <row r="1495" spans="6:6" x14ac:dyDescent="0.25">
      <c r="F1495" s="74"/>
    </row>
    <row r="1496" spans="6:6" x14ac:dyDescent="0.25">
      <c r="F1496" s="74"/>
    </row>
    <row r="1497" spans="6:6" x14ac:dyDescent="0.25">
      <c r="F1497" s="74"/>
    </row>
    <row r="1498" spans="6:6" x14ac:dyDescent="0.25">
      <c r="F1498" s="74"/>
    </row>
    <row r="1499" spans="6:6" x14ac:dyDescent="0.25">
      <c r="F1499" s="74"/>
    </row>
    <row r="1500" spans="6:6" x14ac:dyDescent="0.25">
      <c r="F1500" s="74"/>
    </row>
    <row r="1501" spans="6:6" x14ac:dyDescent="0.25">
      <c r="F1501" s="74"/>
    </row>
    <row r="1502" spans="6:6" x14ac:dyDescent="0.25">
      <c r="F1502" s="74"/>
    </row>
    <row r="1503" spans="6:6" x14ac:dyDescent="0.25">
      <c r="F1503" s="74"/>
    </row>
    <row r="1504" spans="6:6" x14ac:dyDescent="0.25">
      <c r="F1504" s="74"/>
    </row>
    <row r="1505" spans="6:6" x14ac:dyDescent="0.25">
      <c r="F1505" s="74"/>
    </row>
    <row r="1506" spans="6:6" x14ac:dyDescent="0.25">
      <c r="F1506" s="74"/>
    </row>
    <row r="1507" spans="6:6" x14ac:dyDescent="0.25">
      <c r="F1507" s="74"/>
    </row>
    <row r="1508" spans="6:6" x14ac:dyDescent="0.25">
      <c r="F1508" s="74"/>
    </row>
    <row r="1509" spans="6:6" x14ac:dyDescent="0.25">
      <c r="F1509" s="74"/>
    </row>
    <row r="1510" spans="6:6" x14ac:dyDescent="0.25">
      <c r="F1510" s="74"/>
    </row>
    <row r="1511" spans="6:6" x14ac:dyDescent="0.25">
      <c r="F1511" s="74"/>
    </row>
    <row r="1512" spans="6:6" x14ac:dyDescent="0.25">
      <c r="F1512" s="74"/>
    </row>
    <row r="1513" spans="6:6" x14ac:dyDescent="0.25">
      <c r="F1513" s="74"/>
    </row>
    <row r="1514" spans="6:6" x14ac:dyDescent="0.25">
      <c r="F1514" s="74"/>
    </row>
    <row r="1515" spans="6:6" x14ac:dyDescent="0.25">
      <c r="F1515" s="74"/>
    </row>
    <row r="1516" spans="6:6" x14ac:dyDescent="0.25">
      <c r="F1516" s="74"/>
    </row>
    <row r="1517" spans="6:6" x14ac:dyDescent="0.25">
      <c r="F1517" s="74"/>
    </row>
    <row r="1518" spans="6:6" x14ac:dyDescent="0.25">
      <c r="F1518" s="74"/>
    </row>
    <row r="1519" spans="6:6" x14ac:dyDescent="0.25">
      <c r="F1519" s="74"/>
    </row>
    <row r="1520" spans="6:6" x14ac:dyDescent="0.25">
      <c r="F1520" s="74"/>
    </row>
    <row r="1521" spans="6:6" x14ac:dyDescent="0.25">
      <c r="F1521" s="74"/>
    </row>
    <row r="1522" spans="6:6" x14ac:dyDescent="0.25">
      <c r="F1522" s="74"/>
    </row>
    <row r="1523" spans="6:6" x14ac:dyDescent="0.25">
      <c r="F1523" s="74"/>
    </row>
    <row r="1524" spans="6:6" x14ac:dyDescent="0.25">
      <c r="F1524" s="74"/>
    </row>
    <row r="1525" spans="6:6" x14ac:dyDescent="0.25">
      <c r="F1525" s="74"/>
    </row>
    <row r="1526" spans="6:6" x14ac:dyDescent="0.25">
      <c r="F1526" s="74"/>
    </row>
    <row r="1527" spans="6:6" x14ac:dyDescent="0.25">
      <c r="F1527" s="74"/>
    </row>
    <row r="1528" spans="6:6" x14ac:dyDescent="0.25">
      <c r="F1528" s="74"/>
    </row>
    <row r="1529" spans="6:6" x14ac:dyDescent="0.25">
      <c r="F1529" s="74"/>
    </row>
    <row r="1530" spans="6:6" x14ac:dyDescent="0.25">
      <c r="F1530" s="74"/>
    </row>
    <row r="1531" spans="6:6" x14ac:dyDescent="0.25">
      <c r="F1531" s="74"/>
    </row>
    <row r="1532" spans="6:6" x14ac:dyDescent="0.25">
      <c r="F1532" s="74"/>
    </row>
    <row r="1533" spans="6:6" x14ac:dyDescent="0.25">
      <c r="F1533" s="74"/>
    </row>
    <row r="1534" spans="6:6" x14ac:dyDescent="0.25">
      <c r="F1534" s="74"/>
    </row>
    <row r="1535" spans="6:6" x14ac:dyDescent="0.25">
      <c r="F1535" s="74"/>
    </row>
    <row r="1536" spans="6:6" x14ac:dyDescent="0.25">
      <c r="F1536" s="74"/>
    </row>
    <row r="1537" spans="6:6" x14ac:dyDescent="0.25">
      <c r="F1537" s="74"/>
    </row>
    <row r="1538" spans="6:6" x14ac:dyDescent="0.25">
      <c r="F1538" s="74"/>
    </row>
    <row r="1539" spans="6:6" x14ac:dyDescent="0.25">
      <c r="F1539" s="74"/>
    </row>
    <row r="1540" spans="6:6" x14ac:dyDescent="0.25">
      <c r="F1540" s="74"/>
    </row>
    <row r="1541" spans="6:6" x14ac:dyDescent="0.25">
      <c r="F1541" s="74"/>
    </row>
    <row r="1542" spans="6:6" x14ac:dyDescent="0.25">
      <c r="F1542" s="74"/>
    </row>
    <row r="1543" spans="6:6" x14ac:dyDescent="0.25">
      <c r="F1543" s="74"/>
    </row>
    <row r="1544" spans="6:6" x14ac:dyDescent="0.25">
      <c r="F1544" s="74"/>
    </row>
    <row r="1545" spans="6:6" x14ac:dyDescent="0.25">
      <c r="F1545" s="74"/>
    </row>
    <row r="1546" spans="6:6" x14ac:dyDescent="0.25">
      <c r="F1546" s="74"/>
    </row>
    <row r="1547" spans="6:6" x14ac:dyDescent="0.25">
      <c r="F1547" s="74"/>
    </row>
    <row r="1548" spans="6:6" x14ac:dyDescent="0.25">
      <c r="F1548" s="74"/>
    </row>
    <row r="1549" spans="6:6" x14ac:dyDescent="0.25">
      <c r="F1549" s="74"/>
    </row>
    <row r="1550" spans="6:6" x14ac:dyDescent="0.25">
      <c r="F1550" s="74"/>
    </row>
    <row r="1551" spans="6:6" x14ac:dyDescent="0.25">
      <c r="F1551" s="74"/>
    </row>
    <row r="1552" spans="6:6" x14ac:dyDescent="0.25">
      <c r="F1552" s="74"/>
    </row>
    <row r="1553" spans="6:6" x14ac:dyDescent="0.25">
      <c r="F1553" s="74"/>
    </row>
    <row r="1554" spans="6:6" x14ac:dyDescent="0.25">
      <c r="F1554" s="74"/>
    </row>
    <row r="1555" spans="6:6" x14ac:dyDescent="0.25">
      <c r="F1555" s="74"/>
    </row>
    <row r="1556" spans="6:6" x14ac:dyDescent="0.25">
      <c r="F1556" s="74"/>
    </row>
    <row r="1557" spans="6:6" x14ac:dyDescent="0.25">
      <c r="F1557" s="74"/>
    </row>
    <row r="1558" spans="6:6" x14ac:dyDescent="0.25">
      <c r="F1558" s="74"/>
    </row>
    <row r="1559" spans="6:6" x14ac:dyDescent="0.25">
      <c r="F1559" s="74"/>
    </row>
    <row r="1560" spans="6:6" x14ac:dyDescent="0.25">
      <c r="F1560" s="74"/>
    </row>
    <row r="1561" spans="6:6" x14ac:dyDescent="0.25">
      <c r="F1561" s="74"/>
    </row>
    <row r="1562" spans="6:6" x14ac:dyDescent="0.25">
      <c r="F1562" s="74"/>
    </row>
    <row r="1563" spans="6:6" x14ac:dyDescent="0.25">
      <c r="F1563" s="74"/>
    </row>
    <row r="1564" spans="6:6" x14ac:dyDescent="0.25">
      <c r="F1564" s="74"/>
    </row>
    <row r="1565" spans="6:6" x14ac:dyDescent="0.25">
      <c r="F1565" s="74"/>
    </row>
    <row r="1566" spans="6:6" x14ac:dyDescent="0.25">
      <c r="F1566" s="74"/>
    </row>
    <row r="1567" spans="6:6" x14ac:dyDescent="0.25">
      <c r="F1567" s="74"/>
    </row>
    <row r="1568" spans="6:6" x14ac:dyDescent="0.25">
      <c r="F1568" s="74"/>
    </row>
    <row r="1569" spans="6:6" x14ac:dyDescent="0.25">
      <c r="F1569" s="74"/>
    </row>
    <row r="1570" spans="6:6" x14ac:dyDescent="0.25">
      <c r="F1570" s="74"/>
    </row>
    <row r="1571" spans="6:6" x14ac:dyDescent="0.25">
      <c r="F1571" s="74"/>
    </row>
    <row r="1572" spans="6:6" x14ac:dyDescent="0.25">
      <c r="F1572" s="74"/>
    </row>
    <row r="1573" spans="6:6" x14ac:dyDescent="0.25">
      <c r="F1573" s="74"/>
    </row>
    <row r="1574" spans="6:6" x14ac:dyDescent="0.25">
      <c r="F1574" s="74"/>
    </row>
    <row r="1575" spans="6:6" x14ac:dyDescent="0.25">
      <c r="F1575" s="74"/>
    </row>
    <row r="1576" spans="6:6" x14ac:dyDescent="0.25">
      <c r="F1576" s="74"/>
    </row>
    <row r="1577" spans="6:6" x14ac:dyDescent="0.25">
      <c r="F1577" s="74"/>
    </row>
    <row r="1578" spans="6:6" x14ac:dyDescent="0.25">
      <c r="F1578" s="74"/>
    </row>
    <row r="1579" spans="6:6" x14ac:dyDescent="0.25">
      <c r="F1579" s="74"/>
    </row>
    <row r="1580" spans="6:6" x14ac:dyDescent="0.25">
      <c r="F1580" s="74"/>
    </row>
    <row r="1581" spans="6:6" x14ac:dyDescent="0.25">
      <c r="F1581" s="74"/>
    </row>
    <row r="1582" spans="6:6" x14ac:dyDescent="0.25">
      <c r="F1582" s="74"/>
    </row>
    <row r="1583" spans="6:6" x14ac:dyDescent="0.25">
      <c r="F1583" s="74"/>
    </row>
    <row r="1584" spans="6:6" x14ac:dyDescent="0.25">
      <c r="F1584" s="74"/>
    </row>
    <row r="1585" spans="6:6" x14ac:dyDescent="0.25">
      <c r="F1585" s="74"/>
    </row>
    <row r="1586" spans="6:6" x14ac:dyDescent="0.25">
      <c r="F1586" s="74"/>
    </row>
    <row r="1587" spans="6:6" x14ac:dyDescent="0.25">
      <c r="F1587" s="74"/>
    </row>
    <row r="1588" spans="6:6" x14ac:dyDescent="0.25">
      <c r="F1588" s="74"/>
    </row>
    <row r="1589" spans="6:6" x14ac:dyDescent="0.25">
      <c r="F1589" s="74"/>
    </row>
    <row r="1590" spans="6:6" x14ac:dyDescent="0.25">
      <c r="F1590" s="74"/>
    </row>
    <row r="1591" spans="6:6" x14ac:dyDescent="0.25">
      <c r="F1591" s="74"/>
    </row>
    <row r="1592" spans="6:6" x14ac:dyDescent="0.25">
      <c r="F1592" s="74"/>
    </row>
    <row r="1593" spans="6:6" x14ac:dyDescent="0.25">
      <c r="F1593" s="74"/>
    </row>
    <row r="1594" spans="6:6" x14ac:dyDescent="0.25">
      <c r="F1594" s="74"/>
    </row>
    <row r="1595" spans="6:6" x14ac:dyDescent="0.25">
      <c r="F1595" s="74"/>
    </row>
    <row r="1596" spans="6:6" x14ac:dyDescent="0.25">
      <c r="F1596" s="74"/>
    </row>
    <row r="1597" spans="6:6" x14ac:dyDescent="0.25">
      <c r="F1597" s="74"/>
    </row>
    <row r="1598" spans="6:6" x14ac:dyDescent="0.25">
      <c r="F1598" s="74"/>
    </row>
    <row r="1599" spans="6:6" x14ac:dyDescent="0.25">
      <c r="F1599" s="74"/>
    </row>
    <row r="1600" spans="6:6" x14ac:dyDescent="0.25">
      <c r="F1600" s="74"/>
    </row>
    <row r="1601" spans="6:6" x14ac:dyDescent="0.25">
      <c r="F1601" s="74"/>
    </row>
    <row r="1602" spans="6:6" x14ac:dyDescent="0.25">
      <c r="F1602" s="74"/>
    </row>
    <row r="1603" spans="6:6" x14ac:dyDescent="0.25">
      <c r="F1603" s="74"/>
    </row>
    <row r="1604" spans="6:6" x14ac:dyDescent="0.25">
      <c r="F1604" s="74"/>
    </row>
    <row r="1605" spans="6:6" x14ac:dyDescent="0.25">
      <c r="F1605" s="74"/>
    </row>
    <row r="1606" spans="6:6" x14ac:dyDescent="0.25">
      <c r="F1606" s="74"/>
    </row>
    <row r="1607" spans="6:6" x14ac:dyDescent="0.25">
      <c r="F1607" s="74"/>
    </row>
    <row r="1608" spans="6:6" x14ac:dyDescent="0.25">
      <c r="F1608" s="74"/>
    </row>
    <row r="1609" spans="6:6" x14ac:dyDescent="0.25">
      <c r="F1609" s="74"/>
    </row>
    <row r="1610" spans="6:6" x14ac:dyDescent="0.25">
      <c r="F1610" s="74"/>
    </row>
    <row r="1611" spans="6:6" x14ac:dyDescent="0.25">
      <c r="F1611" s="74"/>
    </row>
    <row r="1612" spans="6:6" x14ac:dyDescent="0.25">
      <c r="F1612" s="74"/>
    </row>
    <row r="1613" spans="6:6" x14ac:dyDescent="0.25">
      <c r="F1613" s="74"/>
    </row>
    <row r="1614" spans="6:6" x14ac:dyDescent="0.25">
      <c r="F1614" s="74"/>
    </row>
    <row r="1615" spans="6:6" x14ac:dyDescent="0.25">
      <c r="F1615" s="74"/>
    </row>
    <row r="1616" spans="6:6" x14ac:dyDescent="0.25">
      <c r="F1616" s="74"/>
    </row>
    <row r="1617" spans="6:6" x14ac:dyDescent="0.25">
      <c r="F1617" s="74"/>
    </row>
    <row r="1618" spans="6:6" x14ac:dyDescent="0.25">
      <c r="F1618" s="74"/>
    </row>
    <row r="1619" spans="6:6" x14ac:dyDescent="0.25">
      <c r="F1619" s="74"/>
    </row>
    <row r="1620" spans="6:6" x14ac:dyDescent="0.25">
      <c r="F1620" s="74"/>
    </row>
    <row r="1621" spans="6:6" x14ac:dyDescent="0.25">
      <c r="F1621" s="74"/>
    </row>
    <row r="1622" spans="6:6" x14ac:dyDescent="0.25">
      <c r="F1622" s="74"/>
    </row>
    <row r="1623" spans="6:6" x14ac:dyDescent="0.25">
      <c r="F1623" s="74"/>
    </row>
    <row r="1624" spans="6:6" x14ac:dyDescent="0.25">
      <c r="F1624" s="74"/>
    </row>
    <row r="1625" spans="6:6" x14ac:dyDescent="0.25">
      <c r="F1625" s="74"/>
    </row>
    <row r="1626" spans="6:6" x14ac:dyDescent="0.25">
      <c r="F1626" s="74"/>
    </row>
    <row r="1627" spans="6:6" x14ac:dyDescent="0.25">
      <c r="F1627" s="74"/>
    </row>
    <row r="1628" spans="6:6" x14ac:dyDescent="0.25">
      <c r="F1628" s="74"/>
    </row>
    <row r="1629" spans="6:6" x14ac:dyDescent="0.25">
      <c r="F1629" s="74"/>
    </row>
    <row r="1630" spans="6:6" x14ac:dyDescent="0.25">
      <c r="F1630" s="74"/>
    </row>
    <row r="1631" spans="6:6" x14ac:dyDescent="0.25">
      <c r="F1631" s="74"/>
    </row>
    <row r="1632" spans="6:6" x14ac:dyDescent="0.25">
      <c r="F1632" s="74"/>
    </row>
    <row r="1633" spans="6:6" x14ac:dyDescent="0.25">
      <c r="F1633" s="74"/>
    </row>
    <row r="1634" spans="6:6" x14ac:dyDescent="0.25">
      <c r="F1634" s="74"/>
    </row>
    <row r="1635" spans="6:6" x14ac:dyDescent="0.25">
      <c r="F1635" s="74"/>
    </row>
    <row r="1636" spans="6:6" x14ac:dyDescent="0.25">
      <c r="F1636" s="74"/>
    </row>
    <row r="1637" spans="6:6" x14ac:dyDescent="0.25">
      <c r="F1637" s="74"/>
    </row>
    <row r="1638" spans="6:6" x14ac:dyDescent="0.25">
      <c r="F1638" s="74"/>
    </row>
    <row r="1639" spans="6:6" x14ac:dyDescent="0.25">
      <c r="F1639" s="74"/>
    </row>
    <row r="1640" spans="6:6" x14ac:dyDescent="0.25">
      <c r="F1640" s="74"/>
    </row>
    <row r="1641" spans="6:6" x14ac:dyDescent="0.25">
      <c r="F1641" s="74"/>
    </row>
    <row r="1642" spans="6:6" x14ac:dyDescent="0.25">
      <c r="F1642" s="74"/>
    </row>
    <row r="1643" spans="6:6" x14ac:dyDescent="0.25">
      <c r="F1643" s="74"/>
    </row>
    <row r="1644" spans="6:6" x14ac:dyDescent="0.25">
      <c r="F1644" s="74"/>
    </row>
    <row r="1645" spans="6:6" x14ac:dyDescent="0.25">
      <c r="F1645" s="74"/>
    </row>
    <row r="1646" spans="6:6" x14ac:dyDescent="0.25">
      <c r="F1646" s="74"/>
    </row>
    <row r="1647" spans="6:6" x14ac:dyDescent="0.25">
      <c r="F1647" s="74"/>
    </row>
    <row r="1648" spans="6:6" x14ac:dyDescent="0.25">
      <c r="F1648" s="74"/>
    </row>
    <row r="1649" spans="6:6" x14ac:dyDescent="0.25">
      <c r="F1649" s="74"/>
    </row>
    <row r="1650" spans="6:6" x14ac:dyDescent="0.25">
      <c r="F1650" s="74"/>
    </row>
    <row r="1651" spans="6:6" x14ac:dyDescent="0.25">
      <c r="F1651" s="74"/>
    </row>
    <row r="1652" spans="6:6" x14ac:dyDescent="0.25">
      <c r="F1652" s="74"/>
    </row>
    <row r="1653" spans="6:6" x14ac:dyDescent="0.25">
      <c r="F1653" s="74"/>
    </row>
    <row r="1654" spans="6:6" x14ac:dyDescent="0.25">
      <c r="F1654" s="74"/>
    </row>
    <row r="1655" spans="6:6" x14ac:dyDescent="0.25">
      <c r="F1655" s="74"/>
    </row>
    <row r="1656" spans="6:6" x14ac:dyDescent="0.25">
      <c r="F1656" s="74"/>
    </row>
    <row r="1657" spans="6:6" x14ac:dyDescent="0.25">
      <c r="F1657" s="74"/>
    </row>
    <row r="1658" spans="6:6" x14ac:dyDescent="0.25">
      <c r="F1658" s="74"/>
    </row>
    <row r="1659" spans="6:6" x14ac:dyDescent="0.25">
      <c r="F1659" s="74"/>
    </row>
    <row r="1660" spans="6:6" x14ac:dyDescent="0.25">
      <c r="F1660" s="74"/>
    </row>
    <row r="1661" spans="6:6" x14ac:dyDescent="0.25">
      <c r="F1661" s="74"/>
    </row>
    <row r="1662" spans="6:6" x14ac:dyDescent="0.25">
      <c r="F1662" s="74"/>
    </row>
    <row r="1663" spans="6:6" x14ac:dyDescent="0.25">
      <c r="F1663" s="74"/>
    </row>
    <row r="1664" spans="6:6" x14ac:dyDescent="0.25">
      <c r="F1664" s="74"/>
    </row>
    <row r="1665" spans="6:6" x14ac:dyDescent="0.25">
      <c r="F1665" s="74"/>
    </row>
    <row r="1666" spans="6:6" x14ac:dyDescent="0.25">
      <c r="F1666" s="74"/>
    </row>
    <row r="1667" spans="6:6" x14ac:dyDescent="0.25">
      <c r="F1667" s="74"/>
    </row>
    <row r="1668" spans="6:6" x14ac:dyDescent="0.25">
      <c r="F1668" s="74"/>
    </row>
    <row r="1669" spans="6:6" x14ac:dyDescent="0.25">
      <c r="F1669" s="74"/>
    </row>
    <row r="1670" spans="6:6" x14ac:dyDescent="0.25">
      <c r="F1670" s="74"/>
    </row>
    <row r="1671" spans="6:6" x14ac:dyDescent="0.25">
      <c r="F1671" s="74"/>
    </row>
    <row r="1672" spans="6:6" x14ac:dyDescent="0.25">
      <c r="F1672" s="74"/>
    </row>
    <row r="1673" spans="6:6" x14ac:dyDescent="0.25">
      <c r="F1673" s="74"/>
    </row>
    <row r="1674" spans="6:6" x14ac:dyDescent="0.25">
      <c r="F1674" s="74"/>
    </row>
    <row r="1675" spans="6:6" x14ac:dyDescent="0.25">
      <c r="F1675" s="74"/>
    </row>
    <row r="1676" spans="6:6" x14ac:dyDescent="0.25">
      <c r="F1676" s="74"/>
    </row>
    <row r="1677" spans="6:6" x14ac:dyDescent="0.25">
      <c r="F1677" s="74"/>
    </row>
    <row r="1678" spans="6:6" x14ac:dyDescent="0.25">
      <c r="F1678" s="74"/>
    </row>
    <row r="1679" spans="6:6" x14ac:dyDescent="0.25">
      <c r="F1679" s="74"/>
    </row>
    <row r="1680" spans="6:6" x14ac:dyDescent="0.25">
      <c r="F1680" s="74"/>
    </row>
    <row r="1681" spans="6:6" x14ac:dyDescent="0.25">
      <c r="F1681" s="74"/>
    </row>
    <row r="1682" spans="6:6" x14ac:dyDescent="0.25">
      <c r="F1682" s="74"/>
    </row>
    <row r="1683" spans="6:6" x14ac:dyDescent="0.25">
      <c r="F1683" s="74"/>
    </row>
    <row r="1684" spans="6:6" x14ac:dyDescent="0.25">
      <c r="F1684" s="74"/>
    </row>
    <row r="1685" spans="6:6" x14ac:dyDescent="0.25">
      <c r="F1685" s="74"/>
    </row>
    <row r="1686" spans="6:6" x14ac:dyDescent="0.25">
      <c r="F1686" s="74"/>
    </row>
    <row r="1687" spans="6:6" x14ac:dyDescent="0.25">
      <c r="F1687" s="74"/>
    </row>
    <row r="1688" spans="6:6" x14ac:dyDescent="0.25">
      <c r="F1688" s="74"/>
    </row>
    <row r="1689" spans="6:6" x14ac:dyDescent="0.25">
      <c r="F1689" s="74"/>
    </row>
    <row r="1690" spans="6:6" x14ac:dyDescent="0.25">
      <c r="F1690" s="74"/>
    </row>
    <row r="1691" spans="6:6" x14ac:dyDescent="0.25">
      <c r="F1691" s="74"/>
    </row>
    <row r="1692" spans="6:6" x14ac:dyDescent="0.25">
      <c r="F1692" s="74"/>
    </row>
    <row r="1693" spans="6:6" x14ac:dyDescent="0.25">
      <c r="F1693" s="74"/>
    </row>
    <row r="1694" spans="6:6" x14ac:dyDescent="0.25">
      <c r="F1694" s="74"/>
    </row>
    <row r="1695" spans="6:6" x14ac:dyDescent="0.25">
      <c r="F1695" s="74"/>
    </row>
    <row r="1696" spans="6:6" x14ac:dyDescent="0.25">
      <c r="F1696" s="74"/>
    </row>
    <row r="1697" spans="6:6" x14ac:dyDescent="0.25">
      <c r="F1697" s="74"/>
    </row>
    <row r="1698" spans="6:6" x14ac:dyDescent="0.25">
      <c r="F1698" s="74"/>
    </row>
    <row r="1699" spans="6:6" x14ac:dyDescent="0.25">
      <c r="F1699" s="74"/>
    </row>
    <row r="1700" spans="6:6" x14ac:dyDescent="0.25">
      <c r="F1700" s="74"/>
    </row>
    <row r="1701" spans="6:6" x14ac:dyDescent="0.25">
      <c r="F1701" s="74"/>
    </row>
    <row r="1702" spans="6:6" x14ac:dyDescent="0.25">
      <c r="F1702" s="74"/>
    </row>
    <row r="1703" spans="6:6" x14ac:dyDescent="0.25">
      <c r="F1703" s="74"/>
    </row>
    <row r="1704" spans="6:6" x14ac:dyDescent="0.25">
      <c r="F1704" s="74"/>
    </row>
    <row r="1705" spans="6:6" x14ac:dyDescent="0.25">
      <c r="F1705" s="74"/>
    </row>
    <row r="1706" spans="6:6" x14ac:dyDescent="0.25">
      <c r="F1706" s="74"/>
    </row>
    <row r="1707" spans="6:6" x14ac:dyDescent="0.25">
      <c r="F1707" s="74"/>
    </row>
    <row r="1708" spans="6:6" x14ac:dyDescent="0.25">
      <c r="F1708" s="74"/>
    </row>
    <row r="1709" spans="6:6" x14ac:dyDescent="0.25">
      <c r="F1709" s="74"/>
    </row>
    <row r="1710" spans="6:6" x14ac:dyDescent="0.25">
      <c r="F1710" s="74"/>
    </row>
    <row r="1711" spans="6:6" x14ac:dyDescent="0.25">
      <c r="F1711" s="74"/>
    </row>
    <row r="1712" spans="6:6" x14ac:dyDescent="0.25">
      <c r="F1712" s="74"/>
    </row>
    <row r="1713" spans="6:6" x14ac:dyDescent="0.25">
      <c r="F1713" s="74"/>
    </row>
    <row r="1714" spans="6:6" x14ac:dyDescent="0.25">
      <c r="F1714" s="74"/>
    </row>
    <row r="1715" spans="6:6" x14ac:dyDescent="0.25">
      <c r="F1715" s="74"/>
    </row>
    <row r="1716" spans="6:6" x14ac:dyDescent="0.25">
      <c r="F1716" s="74"/>
    </row>
    <row r="1717" spans="6:6" x14ac:dyDescent="0.25">
      <c r="F1717" s="74"/>
    </row>
    <row r="1718" spans="6:6" x14ac:dyDescent="0.25">
      <c r="F1718" s="74"/>
    </row>
    <row r="1719" spans="6:6" x14ac:dyDescent="0.25">
      <c r="F1719" s="74"/>
    </row>
    <row r="1720" spans="6:6" x14ac:dyDescent="0.25">
      <c r="F1720" s="74"/>
    </row>
    <row r="1721" spans="6:6" x14ac:dyDescent="0.25">
      <c r="F1721" s="74"/>
    </row>
    <row r="1722" spans="6:6" x14ac:dyDescent="0.25">
      <c r="F1722" s="74"/>
    </row>
    <row r="1723" spans="6:6" x14ac:dyDescent="0.25">
      <c r="F1723" s="74"/>
    </row>
    <row r="1724" spans="6:6" x14ac:dyDescent="0.25">
      <c r="F1724" s="74"/>
    </row>
    <row r="1725" spans="6:6" x14ac:dyDescent="0.25">
      <c r="F1725" s="74"/>
    </row>
    <row r="1726" spans="6:6" x14ac:dyDescent="0.25">
      <c r="F1726" s="74"/>
    </row>
    <row r="1727" spans="6:6" x14ac:dyDescent="0.25">
      <c r="F1727" s="74"/>
    </row>
    <row r="1728" spans="6:6" x14ac:dyDescent="0.25">
      <c r="F1728" s="74"/>
    </row>
    <row r="1729" spans="6:6" x14ac:dyDescent="0.25">
      <c r="F1729" s="74"/>
    </row>
    <row r="1730" spans="6:6" x14ac:dyDescent="0.25">
      <c r="F1730" s="74"/>
    </row>
    <row r="1731" spans="6:6" x14ac:dyDescent="0.25">
      <c r="F1731" s="74"/>
    </row>
    <row r="1732" spans="6:6" x14ac:dyDescent="0.25">
      <c r="F1732" s="74"/>
    </row>
    <row r="1733" spans="6:6" x14ac:dyDescent="0.25">
      <c r="F1733" s="74"/>
    </row>
    <row r="1734" spans="6:6" x14ac:dyDescent="0.25">
      <c r="F1734" s="74"/>
    </row>
    <row r="1735" spans="6:6" x14ac:dyDescent="0.25">
      <c r="F1735" s="74"/>
    </row>
    <row r="1736" spans="6:6" x14ac:dyDescent="0.25">
      <c r="F1736" s="74"/>
    </row>
    <row r="1737" spans="6:6" x14ac:dyDescent="0.25">
      <c r="F1737" s="74"/>
    </row>
    <row r="1738" spans="6:6" x14ac:dyDescent="0.25">
      <c r="F1738" s="74"/>
    </row>
    <row r="1739" spans="6:6" x14ac:dyDescent="0.25">
      <c r="F1739" s="74"/>
    </row>
    <row r="1740" spans="6:6" x14ac:dyDescent="0.25">
      <c r="F1740" s="74"/>
    </row>
    <row r="1741" spans="6:6" x14ac:dyDescent="0.25">
      <c r="F1741" s="74"/>
    </row>
    <row r="1742" spans="6:6" x14ac:dyDescent="0.25">
      <c r="F1742" s="74"/>
    </row>
    <row r="1743" spans="6:6" x14ac:dyDescent="0.25">
      <c r="F1743" s="74"/>
    </row>
    <row r="1744" spans="6:6" x14ac:dyDescent="0.25">
      <c r="F1744" s="74"/>
    </row>
    <row r="1745" spans="6:6" x14ac:dyDescent="0.25">
      <c r="F1745" s="74"/>
    </row>
    <row r="1746" spans="6:6" x14ac:dyDescent="0.25">
      <c r="F1746" s="74"/>
    </row>
    <row r="1747" spans="6:6" x14ac:dyDescent="0.25">
      <c r="F1747" s="74"/>
    </row>
    <row r="1748" spans="6:6" x14ac:dyDescent="0.25">
      <c r="F1748" s="74"/>
    </row>
    <row r="1749" spans="6:6" x14ac:dyDescent="0.25">
      <c r="F1749" s="74"/>
    </row>
    <row r="1750" spans="6:6" x14ac:dyDescent="0.25">
      <c r="F1750" s="74"/>
    </row>
    <row r="1751" spans="6:6" x14ac:dyDescent="0.25">
      <c r="F1751" s="74"/>
    </row>
    <row r="1752" spans="6:6" x14ac:dyDescent="0.25">
      <c r="F1752" s="74"/>
    </row>
    <row r="1753" spans="6:6" x14ac:dyDescent="0.25">
      <c r="F1753" s="74"/>
    </row>
    <row r="1754" spans="6:6" x14ac:dyDescent="0.25">
      <c r="F1754" s="74"/>
    </row>
    <row r="1755" spans="6:6" x14ac:dyDescent="0.25">
      <c r="F1755" s="74"/>
    </row>
    <row r="1756" spans="6:6" x14ac:dyDescent="0.25">
      <c r="F1756" s="74"/>
    </row>
    <row r="1757" spans="6:6" x14ac:dyDescent="0.25">
      <c r="F1757" s="74"/>
    </row>
    <row r="1758" spans="6:6" x14ac:dyDescent="0.25">
      <c r="F1758" s="74"/>
    </row>
    <row r="1759" spans="6:6" x14ac:dyDescent="0.25">
      <c r="F1759" s="74"/>
    </row>
    <row r="1760" spans="6:6" x14ac:dyDescent="0.25">
      <c r="F1760" s="74"/>
    </row>
    <row r="1761" spans="6:6" x14ac:dyDescent="0.25">
      <c r="F1761" s="74"/>
    </row>
    <row r="1762" spans="6:6" x14ac:dyDescent="0.25">
      <c r="F1762" s="74"/>
    </row>
    <row r="1763" spans="6:6" x14ac:dyDescent="0.25">
      <c r="F1763" s="74"/>
    </row>
    <row r="1764" spans="6:6" x14ac:dyDescent="0.25">
      <c r="F1764" s="74"/>
    </row>
    <row r="1765" spans="6:6" x14ac:dyDescent="0.25">
      <c r="F1765" s="74"/>
    </row>
    <row r="1766" spans="6:6" x14ac:dyDescent="0.25">
      <c r="F1766" s="74"/>
    </row>
    <row r="1767" spans="6:6" x14ac:dyDescent="0.25">
      <c r="F1767" s="74"/>
    </row>
    <row r="1768" spans="6:6" x14ac:dyDescent="0.25">
      <c r="F1768" s="74"/>
    </row>
    <row r="1769" spans="6:6" x14ac:dyDescent="0.25">
      <c r="F1769" s="74"/>
    </row>
    <row r="1770" spans="6:6" x14ac:dyDescent="0.25">
      <c r="F1770" s="74"/>
    </row>
    <row r="1771" spans="6:6" x14ac:dyDescent="0.25">
      <c r="F1771" s="74"/>
    </row>
    <row r="1772" spans="6:6" x14ac:dyDescent="0.25">
      <c r="F1772" s="74"/>
    </row>
    <row r="1773" spans="6:6" x14ac:dyDescent="0.25">
      <c r="F1773" s="74"/>
    </row>
    <row r="1774" spans="6:6" x14ac:dyDescent="0.25">
      <c r="F1774" s="74"/>
    </row>
    <row r="1775" spans="6:6" x14ac:dyDescent="0.25">
      <c r="F1775" s="74"/>
    </row>
    <row r="1776" spans="6:6" x14ac:dyDescent="0.25">
      <c r="F1776" s="74"/>
    </row>
    <row r="1777" spans="6:6" x14ac:dyDescent="0.25">
      <c r="F1777" s="74"/>
    </row>
    <row r="1778" spans="6:6" x14ac:dyDescent="0.25">
      <c r="F1778" s="74"/>
    </row>
    <row r="1779" spans="6:6" x14ac:dyDescent="0.25">
      <c r="F1779" s="74"/>
    </row>
    <row r="1780" spans="6:6" x14ac:dyDescent="0.25">
      <c r="F1780" s="74"/>
    </row>
    <row r="1781" spans="6:6" x14ac:dyDescent="0.25">
      <c r="F1781" s="74"/>
    </row>
    <row r="1782" spans="6:6" x14ac:dyDescent="0.25">
      <c r="F1782" s="74"/>
    </row>
    <row r="1783" spans="6:6" x14ac:dyDescent="0.25">
      <c r="F1783" s="74"/>
    </row>
    <row r="1784" spans="6:6" x14ac:dyDescent="0.25">
      <c r="F1784" s="74"/>
    </row>
    <row r="1785" spans="6:6" x14ac:dyDescent="0.25">
      <c r="F1785" s="74"/>
    </row>
    <row r="1786" spans="6:6" x14ac:dyDescent="0.25">
      <c r="F1786" s="74"/>
    </row>
    <row r="1787" spans="6:6" x14ac:dyDescent="0.25">
      <c r="F1787" s="74"/>
    </row>
    <row r="1788" spans="6:6" x14ac:dyDescent="0.25">
      <c r="F1788" s="74"/>
    </row>
    <row r="1789" spans="6:6" x14ac:dyDescent="0.25">
      <c r="F1789" s="74"/>
    </row>
    <row r="1790" spans="6:6" x14ac:dyDescent="0.25">
      <c r="F1790" s="74"/>
    </row>
    <row r="1791" spans="6:6" x14ac:dyDescent="0.25">
      <c r="F1791" s="74"/>
    </row>
    <row r="1792" spans="6:6" x14ac:dyDescent="0.25">
      <c r="F1792" s="74"/>
    </row>
    <row r="1793" spans="6:6" x14ac:dyDescent="0.25">
      <c r="F1793" s="74"/>
    </row>
    <row r="1794" spans="6:6" x14ac:dyDescent="0.25">
      <c r="F1794" s="74"/>
    </row>
    <row r="1795" spans="6:6" x14ac:dyDescent="0.25">
      <c r="F1795" s="74"/>
    </row>
    <row r="1796" spans="6:6" x14ac:dyDescent="0.25">
      <c r="F1796" s="74"/>
    </row>
    <row r="1797" spans="6:6" x14ac:dyDescent="0.25">
      <c r="F1797" s="74"/>
    </row>
    <row r="1798" spans="6:6" x14ac:dyDescent="0.25">
      <c r="F1798" s="74"/>
    </row>
    <row r="1799" spans="6:6" x14ac:dyDescent="0.25">
      <c r="F1799" s="74"/>
    </row>
    <row r="1800" spans="6:6" x14ac:dyDescent="0.25">
      <c r="F1800" s="74"/>
    </row>
    <row r="1801" spans="6:6" x14ac:dyDescent="0.25">
      <c r="F1801" s="74"/>
    </row>
    <row r="1802" spans="6:6" x14ac:dyDescent="0.25">
      <c r="F1802" s="74"/>
    </row>
    <row r="1803" spans="6:6" x14ac:dyDescent="0.25">
      <c r="F1803" s="74"/>
    </row>
    <row r="1804" spans="6:6" x14ac:dyDescent="0.25">
      <c r="F1804" s="74"/>
    </row>
    <row r="1805" spans="6:6" x14ac:dyDescent="0.25">
      <c r="F1805" s="74"/>
    </row>
    <row r="1806" spans="6:6" x14ac:dyDescent="0.25">
      <c r="F1806" s="74"/>
    </row>
    <row r="1807" spans="6:6" x14ac:dyDescent="0.25">
      <c r="F1807" s="74"/>
    </row>
    <row r="1808" spans="6:6" x14ac:dyDescent="0.25">
      <c r="F1808" s="74"/>
    </row>
    <row r="1809" spans="6:6" x14ac:dyDescent="0.25">
      <c r="F1809" s="74"/>
    </row>
    <row r="1810" spans="6:6" x14ac:dyDescent="0.25">
      <c r="F1810" s="74"/>
    </row>
    <row r="1811" spans="6:6" x14ac:dyDescent="0.25">
      <c r="F1811" s="74"/>
    </row>
    <row r="1812" spans="6:6" x14ac:dyDescent="0.25">
      <c r="F1812" s="74"/>
    </row>
    <row r="1813" spans="6:6" x14ac:dyDescent="0.25">
      <c r="F1813" s="74"/>
    </row>
    <row r="1814" spans="6:6" x14ac:dyDescent="0.25">
      <c r="F1814" s="74"/>
    </row>
    <row r="1815" spans="6:6" x14ac:dyDescent="0.25">
      <c r="F1815" s="74"/>
    </row>
    <row r="1816" spans="6:6" x14ac:dyDescent="0.25">
      <c r="F1816" s="74"/>
    </row>
    <row r="1817" spans="6:6" x14ac:dyDescent="0.25">
      <c r="F1817" s="74"/>
    </row>
    <row r="1818" spans="6:6" x14ac:dyDescent="0.25">
      <c r="F1818" s="74"/>
    </row>
    <row r="1819" spans="6:6" x14ac:dyDescent="0.25">
      <c r="F1819" s="74"/>
    </row>
    <row r="1820" spans="6:6" x14ac:dyDescent="0.25">
      <c r="F1820" s="74"/>
    </row>
    <row r="1821" spans="6:6" x14ac:dyDescent="0.25">
      <c r="F1821" s="74"/>
    </row>
    <row r="1822" spans="6:6" x14ac:dyDescent="0.25">
      <c r="F1822" s="74"/>
    </row>
    <row r="1823" spans="6:6" x14ac:dyDescent="0.25">
      <c r="F1823" s="74"/>
    </row>
    <row r="1824" spans="6:6" x14ac:dyDescent="0.25">
      <c r="F1824" s="74"/>
    </row>
    <row r="1825" spans="6:6" x14ac:dyDescent="0.25">
      <c r="F1825" s="74"/>
    </row>
    <row r="1826" spans="6:6" x14ac:dyDescent="0.25">
      <c r="F1826" s="74"/>
    </row>
    <row r="1827" spans="6:6" x14ac:dyDescent="0.25">
      <c r="F1827" s="74"/>
    </row>
    <row r="1828" spans="6:6" x14ac:dyDescent="0.25">
      <c r="F1828" s="74"/>
    </row>
    <row r="1829" spans="6:6" x14ac:dyDescent="0.25">
      <c r="F1829" s="74"/>
    </row>
    <row r="1830" spans="6:6" x14ac:dyDescent="0.25">
      <c r="F1830" s="74"/>
    </row>
    <row r="1831" spans="6:6" x14ac:dyDescent="0.25">
      <c r="F1831" s="74"/>
    </row>
    <row r="1832" spans="6:6" x14ac:dyDescent="0.25">
      <c r="F1832" s="74"/>
    </row>
    <row r="1833" spans="6:6" x14ac:dyDescent="0.25">
      <c r="F1833" s="74"/>
    </row>
    <row r="1834" spans="6:6" x14ac:dyDescent="0.25">
      <c r="F1834" s="74"/>
    </row>
    <row r="1835" spans="6:6" x14ac:dyDescent="0.25">
      <c r="F1835" s="74"/>
    </row>
    <row r="1836" spans="6:6" x14ac:dyDescent="0.25">
      <c r="F1836" s="74"/>
    </row>
    <row r="1837" spans="6:6" x14ac:dyDescent="0.25">
      <c r="F1837" s="74"/>
    </row>
    <row r="1838" spans="6:6" x14ac:dyDescent="0.25">
      <c r="F1838" s="74"/>
    </row>
    <row r="1839" spans="6:6" x14ac:dyDescent="0.25">
      <c r="F1839" s="74"/>
    </row>
    <row r="1840" spans="6:6" x14ac:dyDescent="0.25">
      <c r="F1840" s="74"/>
    </row>
    <row r="1841" spans="6:6" x14ac:dyDescent="0.25">
      <c r="F1841" s="74"/>
    </row>
    <row r="1842" spans="6:6" x14ac:dyDescent="0.25">
      <c r="F1842" s="74"/>
    </row>
    <row r="1843" spans="6:6" x14ac:dyDescent="0.25">
      <c r="F1843" s="74"/>
    </row>
    <row r="1844" spans="6:6" x14ac:dyDescent="0.25">
      <c r="F1844" s="74"/>
    </row>
    <row r="1845" spans="6:6" x14ac:dyDescent="0.25">
      <c r="F1845" s="74"/>
    </row>
    <row r="1846" spans="6:6" x14ac:dyDescent="0.25">
      <c r="F1846" s="74"/>
    </row>
    <row r="1847" spans="6:6" x14ac:dyDescent="0.25">
      <c r="F1847" s="74"/>
    </row>
    <row r="1848" spans="6:6" x14ac:dyDescent="0.25">
      <c r="F1848" s="74"/>
    </row>
    <row r="1849" spans="6:6" x14ac:dyDescent="0.25">
      <c r="F1849" s="74"/>
    </row>
    <row r="1850" spans="6:6" x14ac:dyDescent="0.25">
      <c r="F1850" s="74"/>
    </row>
    <row r="1851" spans="6:6" x14ac:dyDescent="0.25">
      <c r="F1851" s="74"/>
    </row>
    <row r="1852" spans="6:6" x14ac:dyDescent="0.25">
      <c r="F1852" s="74"/>
    </row>
    <row r="1853" spans="6:6" x14ac:dyDescent="0.25">
      <c r="F1853" s="74"/>
    </row>
    <row r="1854" spans="6:6" x14ac:dyDescent="0.25">
      <c r="F1854" s="74"/>
    </row>
    <row r="1855" spans="6:6" x14ac:dyDescent="0.25">
      <c r="F1855" s="74"/>
    </row>
    <row r="1856" spans="6:6" x14ac:dyDescent="0.25">
      <c r="F1856" s="74"/>
    </row>
    <row r="1857" spans="6:6" x14ac:dyDescent="0.25">
      <c r="F1857" s="74"/>
    </row>
    <row r="1858" spans="6:6" x14ac:dyDescent="0.25">
      <c r="F1858" s="74"/>
    </row>
    <row r="1859" spans="6:6" x14ac:dyDescent="0.25">
      <c r="F1859" s="74"/>
    </row>
    <row r="1860" spans="6:6" x14ac:dyDescent="0.25">
      <c r="F1860" s="74"/>
    </row>
    <row r="1861" spans="6:6" x14ac:dyDescent="0.25">
      <c r="F1861" s="74"/>
    </row>
    <row r="1862" spans="6:6" x14ac:dyDescent="0.25">
      <c r="F1862" s="74"/>
    </row>
    <row r="1863" spans="6:6" x14ac:dyDescent="0.25">
      <c r="F1863" s="74"/>
    </row>
    <row r="1864" spans="6:6" x14ac:dyDescent="0.25">
      <c r="F1864" s="74"/>
    </row>
    <row r="1865" spans="6:6" x14ac:dyDescent="0.25">
      <c r="F1865" s="74"/>
    </row>
    <row r="1866" spans="6:6" x14ac:dyDescent="0.25">
      <c r="F1866" s="74"/>
    </row>
    <row r="1867" spans="6:6" x14ac:dyDescent="0.25">
      <c r="F1867" s="74"/>
    </row>
    <row r="1868" spans="6:6" x14ac:dyDescent="0.25">
      <c r="F1868" s="74"/>
    </row>
    <row r="1869" spans="6:6" x14ac:dyDescent="0.25">
      <c r="F1869" s="74"/>
    </row>
    <row r="1870" spans="6:6" x14ac:dyDescent="0.25">
      <c r="F1870" s="74"/>
    </row>
    <row r="1871" spans="6:6" x14ac:dyDescent="0.25">
      <c r="F1871" s="74"/>
    </row>
    <row r="1872" spans="6:6" x14ac:dyDescent="0.25">
      <c r="F1872" s="74"/>
    </row>
    <row r="1873" spans="6:6" x14ac:dyDescent="0.25">
      <c r="F1873" s="74"/>
    </row>
    <row r="1874" spans="6:6" x14ac:dyDescent="0.25">
      <c r="F1874" s="74"/>
    </row>
    <row r="1875" spans="6:6" x14ac:dyDescent="0.25">
      <c r="F1875" s="74"/>
    </row>
  </sheetData>
  <mergeCells count="3">
    <mergeCell ref="A1:G1"/>
    <mergeCell ref="H76:Q76"/>
    <mergeCell ref="F261:G261"/>
  </mergeCells>
  <conditionalFormatting sqref="F253:V253">
    <cfRule type="cellIs" dxfId="3" priority="1" stopIfTrue="1" operator="greaterThan">
      <formula>15</formula>
    </cfRule>
  </conditionalFormatting>
  <printOptions horizontalCentered="1"/>
  <pageMargins left="0.31496062992125984" right="0.31496062992125984" top="0.74803149606299213" bottom="0.51181102362204722" header="0.51181102362204722" footer="0.51181102362204722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Consolidated</vt:lpstr>
      <vt:lpstr>Summary</vt:lpstr>
      <vt:lpstr>DSPR Jordan</vt:lpstr>
      <vt:lpstr>DSPR Lebanon</vt:lpstr>
      <vt:lpstr>FCA Jordan</vt:lpstr>
      <vt:lpstr>FCA Syria</vt:lpstr>
      <vt:lpstr>IOCC Jordan</vt:lpstr>
      <vt:lpstr>IOCC Lebanon</vt:lpstr>
      <vt:lpstr>IOCC Syria</vt:lpstr>
      <vt:lpstr>LWF Jordan</vt:lpstr>
      <vt:lpstr>MECC Lebanon</vt:lpstr>
      <vt:lpstr>MECC Syria</vt:lpstr>
      <vt:lpstr>Consolidated!Print_Area</vt:lpstr>
      <vt:lpstr>'DSPR Jordan'!Print_Area</vt:lpstr>
      <vt:lpstr>'DSPR Lebanon'!Print_Area</vt:lpstr>
      <vt:lpstr>'FCA Jordan'!Print_Area</vt:lpstr>
      <vt:lpstr>'FCA Syria'!Print_Area</vt:lpstr>
      <vt:lpstr>'IOCC Jordan'!Print_Area</vt:lpstr>
      <vt:lpstr>'IOCC Lebanon'!Print_Area</vt:lpstr>
      <vt:lpstr>'IOCC Syria'!Print_Area</vt:lpstr>
      <vt:lpstr>'LWF Jordan'!Print_Area</vt:lpstr>
      <vt:lpstr>'MECC Lebanon'!Print_Area</vt:lpstr>
      <vt:lpstr>'MECC Syria'!Print_Area</vt:lpstr>
      <vt:lpstr>Consolidated!Print_Titles</vt:lpstr>
      <vt:lpstr>'DSPR Jordan'!Print_Titles</vt:lpstr>
      <vt:lpstr>'DSPR Lebanon'!Print_Titles</vt:lpstr>
      <vt:lpstr>'FCA Jordan'!Print_Titles</vt:lpstr>
      <vt:lpstr>'FCA Syria'!Print_Titles</vt:lpstr>
      <vt:lpstr>'IOCC Jordan'!Print_Titles</vt:lpstr>
      <vt:lpstr>'IOCC Lebanon'!Print_Titles</vt:lpstr>
      <vt:lpstr>'IOCC Syria'!Print_Titles</vt:lpstr>
      <vt:lpstr>'LWF Jordan'!Print_Titles</vt:lpstr>
      <vt:lpstr>'MECC Lebanon'!Print_Titles</vt:lpstr>
      <vt:lpstr>'MECC Syria'!Print_Titles</vt:lpstr>
    </vt:vector>
  </TitlesOfParts>
  <Company>World Council of Churches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</dc:creator>
  <cp:lastModifiedBy>Lorenzo Correa</cp:lastModifiedBy>
  <cp:lastPrinted>2011-11-02T16:49:18Z</cp:lastPrinted>
  <dcterms:created xsi:type="dcterms:W3CDTF">2000-05-24T09:55:44Z</dcterms:created>
  <dcterms:modified xsi:type="dcterms:W3CDTF">2018-02-28T09:27:56Z</dcterms:modified>
</cp:coreProperties>
</file>