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Finances and Resource Mobilisation\Crystal Reports\Crystal Reports for Distribution\"/>
    </mc:Choice>
  </mc:AlternateContent>
  <bookViews>
    <workbookView xWindow="0" yWindow="0" windowWidth="20496" windowHeight="7656"/>
  </bookViews>
  <sheets>
    <sheet name="Consolidated" sheetId="4" r:id="rId1"/>
    <sheet name="Summary" sheetId="9" r:id="rId2"/>
    <sheet name="DSPR- J" sheetId="10" r:id="rId3"/>
    <sheet name="DSPR-L" sheetId="11" r:id="rId4"/>
    <sheet name="HEKS-L" sheetId="19" r:id="rId5"/>
    <sheet name="IOCC-J" sheetId="14" r:id="rId6"/>
    <sheet name="IOCC-L" sheetId="16" r:id="rId7"/>
    <sheet name="IOCC-S" sheetId="15" r:id="rId8"/>
    <sheet name="LWF-J" sheetId="17" r:id="rId9"/>
    <sheet name="LWF-S" sheetId="18" r:id="rId10"/>
    <sheet name="MECC-S" sheetId="12" r:id="rId11"/>
    <sheet name="MECC-L" sheetId="13" r:id="rId12"/>
    <sheet name="Sheet1" sheetId="20" r:id="rId13"/>
  </sheets>
  <externalReferences>
    <externalReference r:id="rId14"/>
    <externalReference r:id="rId15"/>
    <externalReference r:id="rId16"/>
  </externalReferences>
  <definedNames>
    <definedName name="LokalesPersonal">'[1]Annex%201_Budget%20Shatila%2066'!$S$39</definedName>
    <definedName name="_xlnm.Print_Area" localSheetId="0">Consolidated!$A$1:$AD$214</definedName>
    <definedName name="_xlnm.Print_Area" localSheetId="2">'DSPR- J'!$A$1:$Y$274</definedName>
    <definedName name="_xlnm.Print_Area" localSheetId="3">'DSPR-L'!$A$1:$Y$274</definedName>
    <definedName name="_xlnm.Print_Area" localSheetId="4">'HEKS-L'!$A$1:$Y$269</definedName>
    <definedName name="_xlnm.Print_Area" localSheetId="5">'IOCC-J'!$A$1:$Y$277</definedName>
    <definedName name="_xlnm.Print_Area" localSheetId="7">'IOCC-S'!$A$1:$Y$229</definedName>
    <definedName name="_xlnm.Print_Titles" localSheetId="0">Consolidated!$76:$78</definedName>
    <definedName name="_xlnm.Print_Titles" localSheetId="2">'DSPR- J'!$76:$78</definedName>
    <definedName name="_xlnm.Print_Titles" localSheetId="3">'DSPR-L'!$80:$82</definedName>
    <definedName name="_xlnm.Print_Titles" localSheetId="4">'HEKS-L'!$76:$78</definedName>
    <definedName name="_xlnm.Print_Titles" localSheetId="5">'IOCC-J'!$76:$78</definedName>
    <definedName name="_xlnm.Print_Titles" localSheetId="7">'IOCC-S'!$76:$78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56" i="13" l="1"/>
  <c r="F256" i="13"/>
  <c r="G254" i="13"/>
  <c r="F254" i="13"/>
  <c r="G259" i="12"/>
  <c r="F259" i="12"/>
  <c r="G257" i="12"/>
  <c r="F257" i="12"/>
  <c r="G250" i="12"/>
  <c r="F250" i="12"/>
  <c r="G230" i="12"/>
  <c r="F230" i="12"/>
  <c r="F213" i="12"/>
  <c r="G213" i="12"/>
  <c r="G195" i="12"/>
  <c r="F195" i="12"/>
  <c r="G204" i="12"/>
  <c r="G164" i="12"/>
  <c r="F237" i="18"/>
  <c r="G237" i="18"/>
  <c r="G234" i="18"/>
  <c r="F234" i="18"/>
  <c r="G150" i="18"/>
  <c r="G276" i="17"/>
  <c r="G256" i="17"/>
  <c r="F220" i="17"/>
  <c r="G215" i="15"/>
  <c r="G211" i="15"/>
  <c r="F190" i="15"/>
  <c r="G190" i="15"/>
  <c r="F181" i="15"/>
  <c r="G181" i="15"/>
  <c r="G136" i="15"/>
  <c r="G122" i="15"/>
  <c r="G215" i="16"/>
  <c r="G116" i="16"/>
  <c r="G258" i="14"/>
  <c r="G235" i="14"/>
  <c r="G165" i="14"/>
  <c r="G255" i="19"/>
  <c r="G251" i="19"/>
  <c r="G232" i="19"/>
  <c r="G237" i="11"/>
  <c r="G253" i="10"/>
  <c r="G171" i="10"/>
  <c r="F81" i="13" l="1"/>
  <c r="F83" i="13"/>
  <c r="F84" i="13"/>
  <c r="F85" i="13"/>
  <c r="F86" i="13"/>
  <c r="F87" i="13"/>
  <c r="F88" i="13"/>
  <c r="F91" i="13"/>
  <c r="D92" i="13"/>
  <c r="F92" i="13"/>
  <c r="F93" i="13"/>
  <c r="F94" i="13"/>
  <c r="F95" i="13"/>
  <c r="F96" i="13"/>
  <c r="F97" i="13"/>
  <c r="F101" i="13"/>
  <c r="F102" i="13"/>
  <c r="F103" i="13"/>
  <c r="F104" i="13"/>
  <c r="F105" i="13"/>
  <c r="F100" i="13"/>
  <c r="F107" i="13"/>
  <c r="F108" i="13"/>
  <c r="F109" i="13"/>
  <c r="F110" i="13"/>
  <c r="F111" i="13"/>
  <c r="F106" i="13"/>
  <c r="F113" i="13"/>
  <c r="F114" i="13"/>
  <c r="F115" i="13"/>
  <c r="F116" i="13"/>
  <c r="F117" i="13"/>
  <c r="F112" i="13"/>
  <c r="F119" i="13"/>
  <c r="E120" i="13"/>
  <c r="F120" i="13"/>
  <c r="F121" i="13"/>
  <c r="F122" i="13"/>
  <c r="F123" i="13"/>
  <c r="F118" i="13"/>
  <c r="F125" i="13"/>
  <c r="F126" i="13"/>
  <c r="F127" i="13"/>
  <c r="F128" i="13"/>
  <c r="F129" i="13"/>
  <c r="F124" i="13"/>
  <c r="F131" i="13"/>
  <c r="F132" i="13"/>
  <c r="F133" i="13"/>
  <c r="F134" i="13"/>
  <c r="F135" i="13"/>
  <c r="F130" i="13"/>
  <c r="F137" i="13"/>
  <c r="F138" i="13"/>
  <c r="F139" i="13"/>
  <c r="F140" i="13"/>
  <c r="F141" i="13"/>
  <c r="F136" i="13"/>
  <c r="F143" i="13"/>
  <c r="F144" i="13"/>
  <c r="F145" i="13"/>
  <c r="F146" i="13"/>
  <c r="F147" i="13"/>
  <c r="F142" i="13"/>
  <c r="F149" i="13"/>
  <c r="F150" i="13"/>
  <c r="F151" i="13"/>
  <c r="F152" i="13"/>
  <c r="F153" i="13"/>
  <c r="F148" i="13"/>
  <c r="F155" i="13"/>
  <c r="F156" i="13"/>
  <c r="F157" i="13"/>
  <c r="F158" i="13"/>
  <c r="F159" i="13"/>
  <c r="F154" i="13"/>
  <c r="F161" i="13"/>
  <c r="F164" i="13"/>
  <c r="F165" i="13"/>
  <c r="F166" i="13"/>
  <c r="F167" i="13"/>
  <c r="F168" i="13"/>
  <c r="F169" i="13"/>
  <c r="F170" i="13"/>
  <c r="F171" i="13"/>
  <c r="F173" i="13"/>
  <c r="F177" i="13"/>
  <c r="F178" i="13"/>
  <c r="F180" i="13"/>
  <c r="F181" i="13"/>
  <c r="F183" i="13"/>
  <c r="F184" i="13"/>
  <c r="F185" i="13"/>
  <c r="F186" i="13"/>
  <c r="F187" i="13"/>
  <c r="F192" i="13"/>
  <c r="F195" i="13"/>
  <c r="F196" i="13"/>
  <c r="F197" i="13"/>
  <c r="F198" i="13"/>
  <c r="F199" i="13"/>
  <c r="F201" i="13"/>
  <c r="F205" i="13"/>
  <c r="F206" i="13"/>
  <c r="F207" i="13"/>
  <c r="F208" i="13"/>
  <c r="F210" i="13"/>
  <c r="E213" i="13"/>
  <c r="F213" i="13"/>
  <c r="F214" i="13"/>
  <c r="F215" i="13"/>
  <c r="F216" i="13"/>
  <c r="F217" i="13"/>
  <c r="F219" i="13"/>
  <c r="F222" i="13"/>
  <c r="F223" i="13"/>
  <c r="F224" i="13"/>
  <c r="F226" i="13"/>
  <c r="F228" i="13"/>
  <c r="G228" i="13"/>
  <c r="E232" i="13"/>
  <c r="F232" i="13"/>
  <c r="G232" i="13"/>
  <c r="E233" i="13"/>
  <c r="F233" i="13"/>
  <c r="G233" i="13"/>
  <c r="E234" i="13"/>
  <c r="F234" i="13"/>
  <c r="G234" i="13"/>
  <c r="E235" i="13"/>
  <c r="F235" i="13"/>
  <c r="G235" i="13"/>
  <c r="E236" i="13"/>
  <c r="F236" i="13"/>
  <c r="G236" i="13"/>
  <c r="E237" i="13"/>
  <c r="F237" i="13"/>
  <c r="G237" i="13"/>
  <c r="E239" i="13"/>
  <c r="F239" i="13"/>
  <c r="G239" i="13"/>
  <c r="E240" i="13"/>
  <c r="F240" i="13"/>
  <c r="G240" i="13"/>
  <c r="F241" i="13"/>
  <c r="G241" i="13"/>
  <c r="F243" i="13"/>
  <c r="G243" i="13"/>
  <c r="F245" i="13"/>
  <c r="G245" i="13"/>
  <c r="G247" i="13"/>
  <c r="G250" i="13"/>
  <c r="G252" i="13"/>
  <c r="G81" i="10"/>
  <c r="F83" i="10"/>
  <c r="G83" i="10"/>
  <c r="F86" i="10"/>
  <c r="G86" i="10"/>
  <c r="F87" i="10"/>
  <c r="G87" i="10"/>
  <c r="F88" i="10"/>
  <c r="G88" i="10"/>
  <c r="F89" i="10"/>
  <c r="G89" i="10"/>
  <c r="G93" i="10"/>
  <c r="F97" i="10"/>
  <c r="G97" i="10"/>
  <c r="F98" i="10"/>
  <c r="G98" i="10"/>
  <c r="F99" i="10"/>
  <c r="G99" i="10"/>
  <c r="F100" i="10"/>
  <c r="G100" i="10"/>
  <c r="F101" i="10"/>
  <c r="G101" i="10"/>
  <c r="G96" i="10"/>
  <c r="F103" i="10"/>
  <c r="G103" i="10"/>
  <c r="F104" i="10"/>
  <c r="G104" i="10"/>
  <c r="F105" i="10"/>
  <c r="G105" i="10"/>
  <c r="F106" i="10"/>
  <c r="G106" i="10"/>
  <c r="F107" i="10"/>
  <c r="G107" i="10"/>
  <c r="G102" i="10"/>
  <c r="F109" i="10"/>
  <c r="G109" i="10"/>
  <c r="F110" i="10"/>
  <c r="G110" i="10"/>
  <c r="F111" i="10"/>
  <c r="G111" i="10"/>
  <c r="F112" i="10"/>
  <c r="G112" i="10"/>
  <c r="F113" i="10"/>
  <c r="G113" i="10"/>
  <c r="G108" i="10"/>
  <c r="F115" i="10"/>
  <c r="G115" i="10"/>
  <c r="F116" i="10"/>
  <c r="G116" i="10"/>
  <c r="F117" i="10"/>
  <c r="G117" i="10"/>
  <c r="F118" i="10"/>
  <c r="G118" i="10"/>
  <c r="F119" i="10"/>
  <c r="G119" i="10"/>
  <c r="G114" i="10"/>
  <c r="F121" i="10"/>
  <c r="G121" i="10"/>
  <c r="F122" i="10"/>
  <c r="G122" i="10"/>
  <c r="F123" i="10"/>
  <c r="G123" i="10"/>
  <c r="F124" i="10"/>
  <c r="G124" i="10"/>
  <c r="F125" i="10"/>
  <c r="G125" i="10"/>
  <c r="F126" i="10"/>
  <c r="G126" i="10"/>
  <c r="F127" i="10"/>
  <c r="G127" i="10"/>
  <c r="G120" i="10"/>
  <c r="F129" i="10"/>
  <c r="G129" i="10"/>
  <c r="F130" i="10"/>
  <c r="G130" i="10"/>
  <c r="F131" i="10"/>
  <c r="G131" i="10"/>
  <c r="F132" i="10"/>
  <c r="G132" i="10"/>
  <c r="F133" i="10"/>
  <c r="G133" i="10"/>
  <c r="F134" i="10"/>
  <c r="G134" i="10"/>
  <c r="F135" i="10"/>
  <c r="G135" i="10"/>
  <c r="F136" i="10"/>
  <c r="G136" i="10"/>
  <c r="F137" i="10"/>
  <c r="G137" i="10"/>
  <c r="F138" i="10"/>
  <c r="G138" i="10"/>
  <c r="F139" i="10"/>
  <c r="G139" i="10"/>
  <c r="F140" i="10"/>
  <c r="G140" i="10"/>
  <c r="F141" i="10"/>
  <c r="G141" i="10"/>
  <c r="F142" i="10"/>
  <c r="G142" i="10"/>
  <c r="F143" i="10"/>
  <c r="G143" i="10"/>
  <c r="F144" i="10"/>
  <c r="G144" i="10"/>
  <c r="G128" i="10"/>
  <c r="F146" i="10"/>
  <c r="G146" i="10"/>
  <c r="F147" i="10"/>
  <c r="G147" i="10"/>
  <c r="F148" i="10"/>
  <c r="G148" i="10"/>
  <c r="F149" i="10"/>
  <c r="G149" i="10"/>
  <c r="F150" i="10"/>
  <c r="G150" i="10"/>
  <c r="F151" i="10"/>
  <c r="G151" i="10"/>
  <c r="G145" i="10"/>
  <c r="F153" i="10"/>
  <c r="G153" i="10"/>
  <c r="F154" i="10"/>
  <c r="G154" i="10"/>
  <c r="F155" i="10"/>
  <c r="G155" i="10"/>
  <c r="F156" i="10"/>
  <c r="G156" i="10"/>
  <c r="F157" i="10"/>
  <c r="G157" i="10"/>
  <c r="G152" i="10"/>
  <c r="F159" i="10"/>
  <c r="G159" i="10"/>
  <c r="F160" i="10"/>
  <c r="G160" i="10"/>
  <c r="F161" i="10"/>
  <c r="G161" i="10"/>
  <c r="F162" i="10"/>
  <c r="G162" i="10"/>
  <c r="F163" i="10"/>
  <c r="G163" i="10"/>
  <c r="G158" i="10"/>
  <c r="F165" i="10"/>
  <c r="G165" i="10"/>
  <c r="F166" i="10"/>
  <c r="G166" i="10"/>
  <c r="F167" i="10"/>
  <c r="G167" i="10"/>
  <c r="F168" i="10"/>
  <c r="G168" i="10"/>
  <c r="F169" i="10"/>
  <c r="G169" i="10"/>
  <c r="G164" i="10"/>
  <c r="F174" i="10"/>
  <c r="G174" i="10"/>
  <c r="F175" i="10"/>
  <c r="G175" i="10"/>
  <c r="F176" i="10"/>
  <c r="G176" i="10"/>
  <c r="F177" i="10"/>
  <c r="G177" i="10"/>
  <c r="F178" i="10"/>
  <c r="G178" i="10"/>
  <c r="F179" i="10"/>
  <c r="G179" i="10"/>
  <c r="F180" i="10"/>
  <c r="G180" i="10"/>
  <c r="F181" i="10"/>
  <c r="G181" i="10"/>
  <c r="G182" i="10"/>
  <c r="F186" i="10"/>
  <c r="G186" i="10"/>
  <c r="F187" i="10"/>
  <c r="G187" i="10"/>
  <c r="F189" i="10"/>
  <c r="G189" i="10"/>
  <c r="F190" i="10"/>
  <c r="G190" i="10"/>
  <c r="F192" i="10"/>
  <c r="G192" i="10"/>
  <c r="F194" i="10"/>
  <c r="G194" i="10"/>
  <c r="F193" i="10"/>
  <c r="G193" i="10"/>
  <c r="F195" i="10"/>
  <c r="G195" i="10"/>
  <c r="F196" i="10"/>
  <c r="G196" i="10"/>
  <c r="G201" i="10"/>
  <c r="F204" i="10"/>
  <c r="G204" i="10"/>
  <c r="F205" i="10"/>
  <c r="G205" i="10"/>
  <c r="F206" i="10"/>
  <c r="G206" i="10"/>
  <c r="F207" i="10"/>
  <c r="G207" i="10"/>
  <c r="F208" i="10"/>
  <c r="G208" i="10"/>
  <c r="G210" i="10"/>
  <c r="F214" i="10"/>
  <c r="G214" i="10"/>
  <c r="F215" i="10"/>
  <c r="G215" i="10"/>
  <c r="F216" i="10"/>
  <c r="G216" i="10"/>
  <c r="F217" i="10"/>
  <c r="G217" i="10"/>
  <c r="G219" i="10"/>
  <c r="F222" i="10"/>
  <c r="G222" i="10"/>
  <c r="F223" i="10"/>
  <c r="G223" i="10"/>
  <c r="F224" i="10"/>
  <c r="G224" i="10"/>
  <c r="F225" i="10"/>
  <c r="G225" i="10"/>
  <c r="F226" i="10"/>
  <c r="G226" i="10"/>
  <c r="G227" i="10"/>
  <c r="F230" i="10"/>
  <c r="G230" i="10"/>
  <c r="F231" i="10"/>
  <c r="G231" i="10"/>
  <c r="F232" i="10"/>
  <c r="G232" i="10"/>
  <c r="G234" i="10"/>
  <c r="G236" i="10"/>
  <c r="F172" i="11"/>
  <c r="C4" i="11"/>
  <c r="G172" i="11"/>
  <c r="F173" i="11"/>
  <c r="G173" i="11"/>
  <c r="F174" i="11"/>
  <c r="G174" i="11"/>
  <c r="F175" i="11"/>
  <c r="G175" i="11"/>
  <c r="F176" i="11"/>
  <c r="G176" i="11"/>
  <c r="F177" i="11"/>
  <c r="G177" i="11"/>
  <c r="F178" i="11"/>
  <c r="G178" i="11"/>
  <c r="G183" i="11"/>
  <c r="F138" i="11"/>
  <c r="G138" i="11"/>
  <c r="F139" i="11"/>
  <c r="G139" i="11"/>
  <c r="F140" i="11"/>
  <c r="G140" i="11"/>
  <c r="F141" i="11"/>
  <c r="G141" i="11"/>
  <c r="F142" i="11"/>
  <c r="G142" i="11"/>
  <c r="G137" i="11"/>
  <c r="F121" i="11"/>
  <c r="G121" i="11"/>
  <c r="F122" i="11"/>
  <c r="G122" i="11"/>
  <c r="F123" i="11"/>
  <c r="G123" i="11"/>
  <c r="F124" i="11"/>
  <c r="G124" i="11"/>
  <c r="G119" i="11"/>
  <c r="F115" i="11"/>
  <c r="G115" i="11"/>
  <c r="F116" i="11"/>
  <c r="G116" i="11"/>
  <c r="F117" i="11"/>
  <c r="G117" i="11"/>
  <c r="F118" i="11"/>
  <c r="G118" i="11"/>
  <c r="G113" i="11"/>
  <c r="G169" i="11"/>
  <c r="F95" i="11"/>
  <c r="G95" i="11"/>
  <c r="G96" i="11"/>
  <c r="F97" i="11"/>
  <c r="G97" i="11"/>
  <c r="F99" i="11"/>
  <c r="G99" i="11"/>
  <c r="G104" i="11"/>
  <c r="C4" i="19"/>
  <c r="G81" i="19"/>
  <c r="F83" i="19"/>
  <c r="G83" i="19"/>
  <c r="F84" i="19"/>
  <c r="G84" i="19"/>
  <c r="F85" i="19"/>
  <c r="G85" i="19"/>
  <c r="F86" i="19"/>
  <c r="G86" i="19"/>
  <c r="F87" i="19"/>
  <c r="G87" i="19"/>
  <c r="F88" i="19"/>
  <c r="G88" i="19"/>
  <c r="F91" i="19"/>
  <c r="G91" i="19"/>
  <c r="F92" i="19"/>
  <c r="G92" i="19"/>
  <c r="F93" i="19"/>
  <c r="G93" i="19"/>
  <c r="F94" i="19"/>
  <c r="G94" i="19"/>
  <c r="F95" i="19"/>
  <c r="G95" i="19"/>
  <c r="F96" i="19"/>
  <c r="G96" i="19"/>
  <c r="G100" i="19"/>
  <c r="F104" i="19"/>
  <c r="G104" i="19"/>
  <c r="F105" i="19"/>
  <c r="G105" i="19"/>
  <c r="F106" i="19"/>
  <c r="G106" i="19"/>
  <c r="F107" i="19"/>
  <c r="G107" i="19"/>
  <c r="F108" i="19"/>
  <c r="G108" i="19"/>
  <c r="G103" i="19"/>
  <c r="F110" i="19"/>
  <c r="G110" i="19"/>
  <c r="F111" i="19"/>
  <c r="G111" i="19"/>
  <c r="F112" i="19"/>
  <c r="G112" i="19"/>
  <c r="F113" i="19"/>
  <c r="G113" i="19"/>
  <c r="F114" i="19"/>
  <c r="G114" i="19"/>
  <c r="G109" i="19"/>
  <c r="F116" i="19"/>
  <c r="G116" i="19"/>
  <c r="F117" i="19"/>
  <c r="G117" i="19"/>
  <c r="F118" i="19"/>
  <c r="G118" i="19"/>
  <c r="F119" i="19"/>
  <c r="G119" i="19"/>
  <c r="F120" i="19"/>
  <c r="G120" i="19"/>
  <c r="G115" i="19"/>
  <c r="F122" i="19"/>
  <c r="G122" i="19"/>
  <c r="F123" i="19"/>
  <c r="G123" i="19"/>
  <c r="F124" i="19"/>
  <c r="G124" i="19"/>
  <c r="F125" i="19"/>
  <c r="G125" i="19"/>
  <c r="F126" i="19"/>
  <c r="G126" i="19"/>
  <c r="G121" i="19"/>
  <c r="F128" i="19"/>
  <c r="G128" i="19"/>
  <c r="F129" i="19"/>
  <c r="G129" i="19"/>
  <c r="F130" i="19"/>
  <c r="G130" i="19"/>
  <c r="F131" i="19"/>
  <c r="G131" i="19"/>
  <c r="F132" i="19"/>
  <c r="G132" i="19"/>
  <c r="G127" i="19"/>
  <c r="F134" i="19"/>
  <c r="G134" i="19"/>
  <c r="F135" i="19"/>
  <c r="G135" i="19"/>
  <c r="F136" i="19"/>
  <c r="G136" i="19"/>
  <c r="F137" i="19"/>
  <c r="G137" i="19"/>
  <c r="F138" i="19"/>
  <c r="G138" i="19"/>
  <c r="G133" i="19"/>
  <c r="F140" i="19"/>
  <c r="G140" i="19"/>
  <c r="F141" i="19"/>
  <c r="G141" i="19"/>
  <c r="F142" i="19"/>
  <c r="G142" i="19"/>
  <c r="F143" i="19"/>
  <c r="G143" i="19"/>
  <c r="F144" i="19"/>
  <c r="G144" i="19"/>
  <c r="G139" i="19"/>
  <c r="F146" i="19"/>
  <c r="G146" i="19"/>
  <c r="F147" i="19"/>
  <c r="G147" i="19"/>
  <c r="F148" i="19"/>
  <c r="G148" i="19"/>
  <c r="F149" i="19"/>
  <c r="G149" i="19"/>
  <c r="F150" i="19"/>
  <c r="G150" i="19"/>
  <c r="G145" i="19"/>
  <c r="F152" i="19"/>
  <c r="G152" i="19"/>
  <c r="F153" i="19"/>
  <c r="G153" i="19"/>
  <c r="F154" i="19"/>
  <c r="G154" i="19"/>
  <c r="F155" i="19"/>
  <c r="G155" i="19"/>
  <c r="F156" i="19"/>
  <c r="G156" i="19"/>
  <c r="G151" i="19"/>
  <c r="F158" i="19"/>
  <c r="G158" i="19"/>
  <c r="F159" i="19"/>
  <c r="G159" i="19"/>
  <c r="F160" i="19"/>
  <c r="G160" i="19"/>
  <c r="F161" i="19"/>
  <c r="G161" i="19"/>
  <c r="F162" i="19"/>
  <c r="G162" i="19"/>
  <c r="G157" i="19"/>
  <c r="G164" i="19"/>
  <c r="F167" i="19"/>
  <c r="G167" i="19"/>
  <c r="F168" i="19"/>
  <c r="G168" i="19"/>
  <c r="F169" i="19"/>
  <c r="G169" i="19"/>
  <c r="F170" i="19"/>
  <c r="G170" i="19"/>
  <c r="F171" i="19"/>
  <c r="G171" i="19"/>
  <c r="F175" i="19"/>
  <c r="G175" i="19"/>
  <c r="F176" i="19"/>
  <c r="G176" i="19"/>
  <c r="G178" i="19"/>
  <c r="F182" i="19"/>
  <c r="G182" i="19"/>
  <c r="F183" i="19"/>
  <c r="G183" i="19"/>
  <c r="F185" i="19"/>
  <c r="G185" i="19"/>
  <c r="F186" i="19"/>
  <c r="G186" i="19"/>
  <c r="F188" i="19"/>
  <c r="G188" i="19"/>
  <c r="F190" i="19"/>
  <c r="G190" i="19"/>
  <c r="F189" i="19"/>
  <c r="G189" i="19"/>
  <c r="F191" i="19"/>
  <c r="G191" i="19"/>
  <c r="F192" i="19"/>
  <c r="G192" i="19"/>
  <c r="G197" i="19"/>
  <c r="F200" i="19"/>
  <c r="G200" i="19"/>
  <c r="F201" i="19"/>
  <c r="G201" i="19"/>
  <c r="F202" i="19"/>
  <c r="G202" i="19"/>
  <c r="F203" i="19"/>
  <c r="G203" i="19"/>
  <c r="F204" i="19"/>
  <c r="G204" i="19"/>
  <c r="G206" i="19"/>
  <c r="F210" i="19"/>
  <c r="G210" i="19"/>
  <c r="F211" i="19"/>
  <c r="G211" i="19"/>
  <c r="F212" i="19"/>
  <c r="G212" i="19"/>
  <c r="F213" i="19"/>
  <c r="G213" i="19"/>
  <c r="G215" i="19"/>
  <c r="F218" i="19"/>
  <c r="G218" i="19"/>
  <c r="F219" i="19"/>
  <c r="G219" i="19"/>
  <c r="F220" i="19"/>
  <c r="G220" i="19"/>
  <c r="F221" i="19"/>
  <c r="G221" i="19"/>
  <c r="F222" i="19"/>
  <c r="G222" i="19"/>
  <c r="G223" i="19"/>
  <c r="F226" i="19"/>
  <c r="G226" i="19"/>
  <c r="F227" i="19"/>
  <c r="G227" i="19"/>
  <c r="F228" i="19"/>
  <c r="G228" i="19"/>
  <c r="G230" i="19"/>
  <c r="F91" i="14"/>
  <c r="C4" i="14"/>
  <c r="G91" i="14"/>
  <c r="E92" i="14"/>
  <c r="F92" i="14"/>
  <c r="G92" i="14"/>
  <c r="E93" i="14"/>
  <c r="F93" i="14"/>
  <c r="G93" i="14"/>
  <c r="E94" i="14"/>
  <c r="F94" i="14"/>
  <c r="G94" i="14"/>
  <c r="E95" i="14"/>
  <c r="F95" i="14"/>
  <c r="G95" i="14"/>
  <c r="E96" i="14"/>
  <c r="F96" i="14"/>
  <c r="G96" i="14"/>
  <c r="E97" i="14"/>
  <c r="F97" i="14"/>
  <c r="G97" i="14"/>
  <c r="E98" i="14"/>
  <c r="F98" i="14"/>
  <c r="G98" i="14"/>
  <c r="G103" i="14"/>
  <c r="E107" i="14"/>
  <c r="F107" i="14"/>
  <c r="G107" i="14"/>
  <c r="F108" i="14"/>
  <c r="G108" i="14"/>
  <c r="D109" i="14"/>
  <c r="F109" i="14"/>
  <c r="G109" i="14"/>
  <c r="G106" i="14"/>
  <c r="F112" i="14"/>
  <c r="G112" i="14"/>
  <c r="D113" i="14"/>
  <c r="F113" i="14"/>
  <c r="G113" i="14"/>
  <c r="D114" i="14"/>
  <c r="F114" i="14"/>
  <c r="G114" i="14"/>
  <c r="D115" i="14"/>
  <c r="F115" i="14"/>
  <c r="G115" i="14"/>
  <c r="G111" i="14"/>
  <c r="E118" i="14"/>
  <c r="F118" i="14"/>
  <c r="G118" i="14"/>
  <c r="G117" i="14"/>
  <c r="F121" i="14"/>
  <c r="G121" i="14"/>
  <c r="D122" i="14"/>
  <c r="E122" i="14"/>
  <c r="F122" i="14"/>
  <c r="G122" i="14"/>
  <c r="F123" i="14"/>
  <c r="G123" i="14"/>
  <c r="F124" i="14"/>
  <c r="G124" i="14"/>
  <c r="F125" i="14"/>
  <c r="G125" i="14"/>
  <c r="G120" i="14"/>
  <c r="D127" i="14"/>
  <c r="E127" i="14"/>
  <c r="F127" i="14"/>
  <c r="G127" i="14"/>
  <c r="F128" i="14"/>
  <c r="G128" i="14"/>
  <c r="F129" i="14"/>
  <c r="G129" i="14"/>
  <c r="D130" i="14"/>
  <c r="F130" i="14"/>
  <c r="G130" i="14"/>
  <c r="D131" i="14"/>
  <c r="F131" i="14"/>
  <c r="G131" i="14"/>
  <c r="F132" i="14"/>
  <c r="G132" i="14"/>
  <c r="E133" i="14"/>
  <c r="F133" i="14"/>
  <c r="G133" i="14"/>
  <c r="E134" i="14"/>
  <c r="F134" i="14"/>
  <c r="G134" i="14"/>
  <c r="F135" i="14"/>
  <c r="G135" i="14"/>
  <c r="F136" i="14"/>
  <c r="G136" i="14"/>
  <c r="G126" i="14"/>
  <c r="F138" i="14"/>
  <c r="G138" i="14"/>
  <c r="F139" i="14"/>
  <c r="G139" i="14"/>
  <c r="F140" i="14"/>
  <c r="G140" i="14"/>
  <c r="F141" i="14"/>
  <c r="G141" i="14"/>
  <c r="G137" i="14"/>
  <c r="E144" i="14"/>
  <c r="F144" i="14"/>
  <c r="G144" i="14"/>
  <c r="G143" i="14"/>
  <c r="F147" i="14"/>
  <c r="G147" i="14"/>
  <c r="F148" i="14"/>
  <c r="G148" i="14"/>
  <c r="F149" i="14"/>
  <c r="G149" i="14"/>
  <c r="F150" i="14"/>
  <c r="G150" i="14"/>
  <c r="G146" i="14"/>
  <c r="F153" i="14"/>
  <c r="G153" i="14"/>
  <c r="F154" i="14"/>
  <c r="G154" i="14"/>
  <c r="F155" i="14"/>
  <c r="G155" i="14"/>
  <c r="F156" i="14"/>
  <c r="G156" i="14"/>
  <c r="G152" i="14"/>
  <c r="F159" i="14"/>
  <c r="G159" i="14"/>
  <c r="F160" i="14"/>
  <c r="G160" i="14"/>
  <c r="F161" i="14"/>
  <c r="G161" i="14"/>
  <c r="F162" i="14"/>
  <c r="G162" i="14"/>
  <c r="G158" i="14"/>
  <c r="F168" i="14"/>
  <c r="G168" i="14"/>
  <c r="F169" i="14"/>
  <c r="G169" i="14"/>
  <c r="F170" i="14"/>
  <c r="G170" i="14"/>
  <c r="F171" i="14"/>
  <c r="G171" i="14"/>
  <c r="F172" i="14"/>
  <c r="G172" i="14"/>
  <c r="F173" i="14"/>
  <c r="G173" i="14"/>
  <c r="F174" i="14"/>
  <c r="G174" i="14"/>
  <c r="F175" i="14"/>
  <c r="G175" i="14"/>
  <c r="F176" i="14"/>
  <c r="G176" i="14"/>
  <c r="F177" i="14"/>
  <c r="G177" i="14"/>
  <c r="F178" i="14"/>
  <c r="G178" i="14"/>
  <c r="G180" i="14"/>
  <c r="F184" i="14"/>
  <c r="G184" i="14"/>
  <c r="F185" i="14"/>
  <c r="G185" i="14"/>
  <c r="E187" i="14"/>
  <c r="F187" i="14"/>
  <c r="G187" i="14"/>
  <c r="F188" i="14"/>
  <c r="G188" i="14"/>
  <c r="E190" i="14"/>
  <c r="F190" i="14"/>
  <c r="G190" i="14"/>
  <c r="F191" i="14"/>
  <c r="G191" i="14"/>
  <c r="E192" i="14"/>
  <c r="F192" i="14"/>
  <c r="G192" i="14"/>
  <c r="F193" i="14"/>
  <c r="G193" i="14"/>
  <c r="G199" i="14"/>
  <c r="F202" i="14"/>
  <c r="G202" i="14"/>
  <c r="F203" i="14"/>
  <c r="G203" i="14"/>
  <c r="F204" i="14"/>
  <c r="G204" i="14"/>
  <c r="F205" i="14"/>
  <c r="G205" i="14"/>
  <c r="F206" i="14"/>
  <c r="G206" i="14"/>
  <c r="G208" i="14"/>
  <c r="F212" i="14"/>
  <c r="G212" i="14"/>
  <c r="F213" i="14"/>
  <c r="G213" i="14"/>
  <c r="F214" i="14"/>
  <c r="G214" i="14"/>
  <c r="E215" i="14"/>
  <c r="F215" i="14"/>
  <c r="G215" i="14"/>
  <c r="G217" i="14"/>
  <c r="F220" i="14"/>
  <c r="G220" i="14"/>
  <c r="F221" i="14"/>
  <c r="G221" i="14"/>
  <c r="F222" i="14"/>
  <c r="G222" i="14"/>
  <c r="E223" i="14"/>
  <c r="F223" i="14"/>
  <c r="G223" i="14"/>
  <c r="F224" i="14"/>
  <c r="G224" i="14"/>
  <c r="G226" i="14"/>
  <c r="F229" i="14"/>
  <c r="G229" i="14"/>
  <c r="F230" i="14"/>
  <c r="G230" i="14"/>
  <c r="F231" i="14"/>
  <c r="G231" i="14"/>
  <c r="G233" i="14"/>
  <c r="F51" i="16"/>
  <c r="F52" i="16"/>
  <c r="F60" i="16"/>
  <c r="E55" i="16"/>
  <c r="F55" i="16"/>
  <c r="E56" i="16"/>
  <c r="F56" i="16"/>
  <c r="F57" i="16"/>
  <c r="F58" i="16"/>
  <c r="F61" i="16"/>
  <c r="F62" i="16"/>
  <c r="F66" i="16"/>
  <c r="F65" i="16"/>
  <c r="F68" i="16"/>
  <c r="F67" i="16"/>
  <c r="F70" i="16"/>
  <c r="F69" i="16"/>
  <c r="F72" i="16"/>
  <c r="F73" i="16"/>
  <c r="F74" i="16"/>
  <c r="F75" i="16"/>
  <c r="F76" i="16"/>
  <c r="F77" i="16"/>
  <c r="F71" i="16"/>
  <c r="F79" i="16"/>
  <c r="F80" i="16"/>
  <c r="F81" i="16"/>
  <c r="F82" i="16"/>
  <c r="F83" i="16"/>
  <c r="F78" i="16"/>
  <c r="F85" i="16"/>
  <c r="F86" i="16"/>
  <c r="F87" i="16"/>
  <c r="F88" i="16"/>
  <c r="F89" i="16"/>
  <c r="F90" i="16"/>
  <c r="F84" i="16"/>
  <c r="F92" i="16"/>
  <c r="F93" i="16"/>
  <c r="F94" i="16"/>
  <c r="F95" i="16"/>
  <c r="F96" i="16"/>
  <c r="F91" i="16"/>
  <c r="F98" i="16"/>
  <c r="F99" i="16"/>
  <c r="F100" i="16"/>
  <c r="F101" i="16"/>
  <c r="F102" i="16"/>
  <c r="F97" i="16"/>
  <c r="F104" i="16"/>
  <c r="F105" i="16"/>
  <c r="F106" i="16"/>
  <c r="F107" i="16"/>
  <c r="F108" i="16"/>
  <c r="F103" i="16"/>
  <c r="F110" i="16"/>
  <c r="F111" i="16"/>
  <c r="F112" i="16"/>
  <c r="F113" i="16"/>
  <c r="F114" i="16"/>
  <c r="F109" i="16"/>
  <c r="F116" i="16"/>
  <c r="F119" i="16"/>
  <c r="F120" i="16"/>
  <c r="F121" i="16"/>
  <c r="F122" i="16"/>
  <c r="F123" i="16"/>
  <c r="F124" i="16"/>
  <c r="F125" i="16"/>
  <c r="E126" i="16"/>
  <c r="F126" i="16"/>
  <c r="F127" i="16"/>
  <c r="F128" i="16"/>
  <c r="F130" i="16"/>
  <c r="E134" i="16"/>
  <c r="F134" i="16"/>
  <c r="F135" i="16"/>
  <c r="F137" i="16"/>
  <c r="F138" i="16"/>
  <c r="E140" i="16"/>
  <c r="F140" i="16"/>
  <c r="F141" i="16"/>
  <c r="F142" i="16"/>
  <c r="F143" i="16"/>
  <c r="F144" i="16"/>
  <c r="F149" i="16"/>
  <c r="F152" i="16"/>
  <c r="F153" i="16"/>
  <c r="F154" i="16"/>
  <c r="F155" i="16"/>
  <c r="F156" i="16"/>
  <c r="F158" i="16"/>
  <c r="F162" i="16"/>
  <c r="F163" i="16"/>
  <c r="F164" i="16"/>
  <c r="F165" i="16"/>
  <c r="F167" i="16"/>
  <c r="F170" i="16"/>
  <c r="F171" i="16"/>
  <c r="F172" i="16"/>
  <c r="F173" i="16"/>
  <c r="F175" i="16"/>
  <c r="F178" i="16"/>
  <c r="F179" i="16"/>
  <c r="F180" i="16"/>
  <c r="F182" i="16"/>
  <c r="F189" i="16"/>
  <c r="G189" i="16"/>
  <c r="E102" i="15"/>
  <c r="F102" i="15"/>
  <c r="G102" i="15"/>
  <c r="E103" i="15"/>
  <c r="F103" i="15"/>
  <c r="G103" i="15"/>
  <c r="E104" i="15"/>
  <c r="F104" i="15"/>
  <c r="G104" i="15"/>
  <c r="E105" i="15"/>
  <c r="F105" i="15"/>
  <c r="G105" i="15"/>
  <c r="F106" i="15"/>
  <c r="G106" i="15"/>
  <c r="G101" i="15"/>
  <c r="E108" i="15"/>
  <c r="F108" i="15"/>
  <c r="G108" i="15"/>
  <c r="G107" i="15"/>
  <c r="E111" i="15"/>
  <c r="F111" i="15"/>
  <c r="G111" i="15"/>
  <c r="E112" i="15"/>
  <c r="F112" i="15"/>
  <c r="G112" i="15"/>
  <c r="G110" i="15"/>
  <c r="E116" i="15"/>
  <c r="F116" i="15"/>
  <c r="G116" i="15"/>
  <c r="E117" i="15"/>
  <c r="F117" i="15"/>
  <c r="G117" i="15"/>
  <c r="G115" i="15"/>
  <c r="F125" i="15"/>
  <c r="G125" i="15"/>
  <c r="F126" i="15"/>
  <c r="G126" i="15"/>
  <c r="F127" i="15"/>
  <c r="G127" i="15"/>
  <c r="F128" i="15"/>
  <c r="G128" i="15"/>
  <c r="F129" i="15"/>
  <c r="G129" i="15"/>
  <c r="F130" i="15"/>
  <c r="G130" i="15"/>
  <c r="F131" i="15"/>
  <c r="G131" i="15"/>
  <c r="F132" i="15"/>
  <c r="G132" i="15"/>
  <c r="E133" i="15"/>
  <c r="F133" i="15"/>
  <c r="G133" i="15"/>
  <c r="E134" i="15"/>
  <c r="F134" i="15"/>
  <c r="G134" i="15"/>
  <c r="F140" i="15"/>
  <c r="G140" i="15"/>
  <c r="F141" i="15"/>
  <c r="G141" i="15"/>
  <c r="E143" i="15"/>
  <c r="F143" i="15"/>
  <c r="G143" i="15"/>
  <c r="E144" i="15"/>
  <c r="F144" i="15"/>
  <c r="G144" i="15"/>
  <c r="E146" i="15"/>
  <c r="F146" i="15"/>
  <c r="G146" i="15"/>
  <c r="E148" i="15"/>
  <c r="F148" i="15"/>
  <c r="G148" i="15"/>
  <c r="E147" i="15"/>
  <c r="F147" i="15"/>
  <c r="G147" i="15"/>
  <c r="E149" i="15"/>
  <c r="F149" i="15"/>
  <c r="G149" i="15"/>
  <c r="E150" i="15"/>
  <c r="F150" i="15"/>
  <c r="G150" i="15"/>
  <c r="G155" i="15"/>
  <c r="F158" i="15"/>
  <c r="G158" i="15"/>
  <c r="E159" i="15"/>
  <c r="F159" i="15"/>
  <c r="G159" i="15"/>
  <c r="F160" i="15"/>
  <c r="G160" i="15"/>
  <c r="F161" i="15"/>
  <c r="G161" i="15"/>
  <c r="F162" i="15"/>
  <c r="G162" i="15"/>
  <c r="G164" i="15"/>
  <c r="E168" i="15"/>
  <c r="F168" i="15"/>
  <c r="G168" i="15"/>
  <c r="E169" i="15"/>
  <c r="F169" i="15"/>
  <c r="G169" i="15"/>
  <c r="E170" i="15"/>
  <c r="F170" i="15"/>
  <c r="G170" i="15"/>
  <c r="E171" i="15"/>
  <c r="F171" i="15"/>
  <c r="G171" i="15"/>
  <c r="G173" i="15"/>
  <c r="F176" i="15"/>
  <c r="G176" i="15"/>
  <c r="F177" i="15"/>
  <c r="G177" i="15"/>
  <c r="F178" i="15"/>
  <c r="G178" i="15"/>
  <c r="E179" i="15"/>
  <c r="F179" i="15"/>
  <c r="G179" i="15"/>
  <c r="E184" i="15"/>
  <c r="F184" i="15"/>
  <c r="G184" i="15"/>
  <c r="F185" i="15"/>
  <c r="G185" i="15"/>
  <c r="F186" i="15"/>
  <c r="G186" i="15"/>
  <c r="G188" i="15"/>
  <c r="F81" i="17"/>
  <c r="G81" i="17"/>
  <c r="E83" i="17"/>
  <c r="F83" i="17"/>
  <c r="G83" i="17"/>
  <c r="E84" i="17"/>
  <c r="F84" i="17"/>
  <c r="G84" i="17"/>
  <c r="E85" i="17"/>
  <c r="F85" i="17"/>
  <c r="G85" i="17"/>
  <c r="F86" i="17"/>
  <c r="G86" i="17"/>
  <c r="F87" i="17"/>
  <c r="G87" i="17"/>
  <c r="F88" i="17"/>
  <c r="G88" i="17"/>
  <c r="F91" i="17"/>
  <c r="G91" i="17"/>
  <c r="F92" i="17"/>
  <c r="G92" i="17"/>
  <c r="E93" i="17"/>
  <c r="F93" i="17"/>
  <c r="G93" i="17"/>
  <c r="E94" i="17"/>
  <c r="F94" i="17"/>
  <c r="G94" i="17"/>
  <c r="F95" i="17"/>
  <c r="G95" i="17"/>
  <c r="E96" i="17"/>
  <c r="F96" i="17"/>
  <c r="G96" i="17"/>
  <c r="E97" i="17"/>
  <c r="F97" i="17"/>
  <c r="G97" i="17"/>
  <c r="F98" i="17"/>
  <c r="G98" i="17"/>
  <c r="F99" i="17"/>
  <c r="G99" i="17"/>
  <c r="E100" i="17"/>
  <c r="F100" i="17"/>
  <c r="G100" i="17"/>
  <c r="E101" i="17"/>
  <c r="F101" i="17"/>
  <c r="G101" i="17"/>
  <c r="E102" i="17"/>
  <c r="F102" i="17"/>
  <c r="G102" i="17"/>
  <c r="E103" i="17"/>
  <c r="F103" i="17"/>
  <c r="G103" i="17"/>
  <c r="E104" i="17"/>
  <c r="F104" i="17"/>
  <c r="G104" i="17"/>
  <c r="E105" i="17"/>
  <c r="F105" i="17"/>
  <c r="G105" i="17"/>
  <c r="G106" i="17"/>
  <c r="F110" i="17"/>
  <c r="G110" i="17"/>
  <c r="F111" i="17"/>
  <c r="G111" i="17"/>
  <c r="F112" i="17"/>
  <c r="G112" i="17"/>
  <c r="F113" i="17"/>
  <c r="G113" i="17"/>
  <c r="F114" i="17"/>
  <c r="G114" i="17"/>
  <c r="G109" i="17"/>
  <c r="F116" i="17"/>
  <c r="G116" i="17"/>
  <c r="F117" i="17"/>
  <c r="G117" i="17"/>
  <c r="F118" i="17"/>
  <c r="G118" i="17"/>
  <c r="F119" i="17"/>
  <c r="G119" i="17"/>
  <c r="F120" i="17"/>
  <c r="G120" i="17"/>
  <c r="G115" i="17"/>
  <c r="F122" i="17"/>
  <c r="G122" i="17"/>
  <c r="F123" i="17"/>
  <c r="G123" i="17"/>
  <c r="F124" i="17"/>
  <c r="G124" i="17"/>
  <c r="F125" i="17"/>
  <c r="G125" i="17"/>
  <c r="F126" i="17"/>
  <c r="G126" i="17"/>
  <c r="G121" i="17"/>
  <c r="F128" i="17"/>
  <c r="G128" i="17"/>
  <c r="F129" i="17"/>
  <c r="G129" i="17"/>
  <c r="F130" i="17"/>
  <c r="G130" i="17"/>
  <c r="F131" i="17"/>
  <c r="G131" i="17"/>
  <c r="F132" i="17"/>
  <c r="G132" i="17"/>
  <c r="G127" i="17"/>
  <c r="E134" i="17"/>
  <c r="F134" i="17"/>
  <c r="G134" i="17"/>
  <c r="E135" i="17"/>
  <c r="F135" i="17"/>
  <c r="G135" i="17"/>
  <c r="E136" i="17"/>
  <c r="F136" i="17"/>
  <c r="G136" i="17"/>
  <c r="F137" i="17"/>
  <c r="G137" i="17"/>
  <c r="E138" i="17"/>
  <c r="F138" i="17"/>
  <c r="G138" i="17"/>
  <c r="F139" i="17"/>
  <c r="G139" i="17"/>
  <c r="G140" i="17"/>
  <c r="E141" i="17"/>
  <c r="F141" i="17"/>
  <c r="G141" i="17"/>
  <c r="E142" i="17"/>
  <c r="F142" i="17"/>
  <c r="G142" i="17"/>
  <c r="E143" i="17"/>
  <c r="F143" i="17"/>
  <c r="G143" i="17"/>
  <c r="E144" i="17"/>
  <c r="F144" i="17"/>
  <c r="G144" i="17"/>
  <c r="E145" i="17"/>
  <c r="F145" i="17"/>
  <c r="G145" i="17"/>
  <c r="E146" i="17"/>
  <c r="F146" i="17"/>
  <c r="G146" i="17"/>
  <c r="E147" i="17"/>
  <c r="F147" i="17"/>
  <c r="G147" i="17"/>
  <c r="E148" i="17"/>
  <c r="F148" i="17"/>
  <c r="G148" i="17"/>
  <c r="E149" i="17"/>
  <c r="F149" i="17"/>
  <c r="G149" i="17"/>
  <c r="E150" i="17"/>
  <c r="F150" i="17"/>
  <c r="G150" i="17"/>
  <c r="F151" i="17"/>
  <c r="G151" i="17"/>
  <c r="E152" i="17"/>
  <c r="F152" i="17"/>
  <c r="G152" i="17"/>
  <c r="E153" i="17"/>
  <c r="F153" i="17"/>
  <c r="G153" i="17"/>
  <c r="F154" i="17"/>
  <c r="G154" i="17"/>
  <c r="E155" i="17"/>
  <c r="F155" i="17"/>
  <c r="G155" i="17"/>
  <c r="E156" i="17"/>
  <c r="F156" i="17"/>
  <c r="G156" i="17"/>
  <c r="G133" i="17"/>
  <c r="F158" i="17"/>
  <c r="G158" i="17"/>
  <c r="F159" i="17"/>
  <c r="G159" i="17"/>
  <c r="F160" i="17"/>
  <c r="G160" i="17"/>
  <c r="F161" i="17"/>
  <c r="G161" i="17"/>
  <c r="F162" i="17"/>
  <c r="G162" i="17"/>
  <c r="E163" i="17"/>
  <c r="F163" i="17"/>
  <c r="G163" i="17"/>
  <c r="G157" i="17"/>
  <c r="F165" i="17"/>
  <c r="G165" i="17"/>
  <c r="F166" i="17"/>
  <c r="G166" i="17"/>
  <c r="F167" i="17"/>
  <c r="G167" i="17"/>
  <c r="F168" i="17"/>
  <c r="G168" i="17"/>
  <c r="F169" i="17"/>
  <c r="G169" i="17"/>
  <c r="G164" i="17"/>
  <c r="F171" i="17"/>
  <c r="G171" i="17"/>
  <c r="F172" i="17"/>
  <c r="G172" i="17"/>
  <c r="F173" i="17"/>
  <c r="G173" i="17"/>
  <c r="F174" i="17"/>
  <c r="G174" i="17"/>
  <c r="F175" i="17"/>
  <c r="G175" i="17"/>
  <c r="G170" i="17"/>
  <c r="F178" i="17"/>
  <c r="G178" i="17"/>
  <c r="F179" i="17"/>
  <c r="G179" i="17"/>
  <c r="F180" i="17"/>
  <c r="G180" i="17"/>
  <c r="F181" i="17"/>
  <c r="G181" i="17"/>
  <c r="G176" i="17"/>
  <c r="F183" i="17"/>
  <c r="G183" i="17"/>
  <c r="F184" i="17"/>
  <c r="G184" i="17"/>
  <c r="F185" i="17"/>
  <c r="G185" i="17"/>
  <c r="F186" i="17"/>
  <c r="G186" i="17"/>
  <c r="F187" i="17"/>
  <c r="G187" i="17"/>
  <c r="G182" i="17"/>
  <c r="G189" i="17"/>
  <c r="F200" i="17"/>
  <c r="G200" i="17"/>
  <c r="F199" i="17"/>
  <c r="G199" i="17"/>
  <c r="F198" i="17"/>
  <c r="G198" i="17"/>
  <c r="F197" i="17"/>
  <c r="G197" i="17"/>
  <c r="F192" i="17"/>
  <c r="G192" i="17"/>
  <c r="G202" i="17"/>
  <c r="F206" i="17"/>
  <c r="G206" i="17"/>
  <c r="F207" i="17"/>
  <c r="G207" i="17"/>
  <c r="F209" i="17"/>
  <c r="G209" i="17"/>
  <c r="F210" i="17"/>
  <c r="G210" i="17"/>
  <c r="F212" i="17"/>
  <c r="G212" i="17"/>
  <c r="F213" i="17"/>
  <c r="G213" i="17"/>
  <c r="F214" i="17"/>
  <c r="G214" i="17"/>
  <c r="F215" i="17"/>
  <c r="G215" i="17"/>
  <c r="G220" i="17"/>
  <c r="F223" i="17"/>
  <c r="G223" i="17"/>
  <c r="F224" i="17"/>
  <c r="G224" i="17"/>
  <c r="F225" i="17"/>
  <c r="G225" i="17"/>
  <c r="F226" i="17"/>
  <c r="G226" i="17"/>
  <c r="F227" i="17"/>
  <c r="G227" i="17"/>
  <c r="G229" i="17"/>
  <c r="F233" i="17"/>
  <c r="G233" i="17"/>
  <c r="F234" i="17"/>
  <c r="G234" i="17"/>
  <c r="F235" i="17"/>
  <c r="G235" i="17"/>
  <c r="G237" i="17"/>
  <c r="F240" i="17"/>
  <c r="G240" i="17"/>
  <c r="F241" i="17"/>
  <c r="G241" i="17"/>
  <c r="F242" i="17"/>
  <c r="G242" i="17"/>
  <c r="F243" i="17"/>
  <c r="G243" i="17"/>
  <c r="F244" i="17"/>
  <c r="G244" i="17"/>
  <c r="G246" i="17"/>
  <c r="F249" i="17"/>
  <c r="G249" i="17"/>
  <c r="F250" i="17"/>
  <c r="G250" i="17"/>
  <c r="F251" i="17"/>
  <c r="G251" i="17"/>
  <c r="G253" i="17"/>
  <c r="F81" i="18"/>
  <c r="G81" i="18"/>
  <c r="E83" i="18"/>
  <c r="F83" i="18"/>
  <c r="G83" i="18"/>
  <c r="E84" i="18"/>
  <c r="F84" i="18"/>
  <c r="G84" i="18"/>
  <c r="E85" i="18"/>
  <c r="F85" i="18"/>
  <c r="G85" i="18"/>
  <c r="E86" i="18"/>
  <c r="F86" i="18"/>
  <c r="G86" i="18"/>
  <c r="E89" i="18"/>
  <c r="F89" i="18"/>
  <c r="G89" i="18"/>
  <c r="E90" i="18"/>
  <c r="F90" i="18"/>
  <c r="G90" i="18"/>
  <c r="E91" i="18"/>
  <c r="F91" i="18"/>
  <c r="G91" i="18"/>
  <c r="E92" i="18"/>
  <c r="F92" i="18"/>
  <c r="G92" i="18"/>
  <c r="F93" i="18"/>
  <c r="G93" i="18"/>
  <c r="F94" i="18"/>
  <c r="G94" i="18"/>
  <c r="G95" i="18"/>
  <c r="E99" i="18"/>
  <c r="F99" i="18"/>
  <c r="G99" i="18"/>
  <c r="E100" i="18"/>
  <c r="F100" i="18"/>
  <c r="G100" i="18"/>
  <c r="E101" i="18"/>
  <c r="F101" i="18"/>
  <c r="G101" i="18"/>
  <c r="D102" i="18"/>
  <c r="E102" i="18"/>
  <c r="F102" i="18"/>
  <c r="G102" i="18"/>
  <c r="E103" i="18"/>
  <c r="F103" i="18"/>
  <c r="G103" i="18"/>
  <c r="G98" i="18"/>
  <c r="E105" i="18"/>
  <c r="F105" i="18"/>
  <c r="G105" i="18"/>
  <c r="E106" i="18"/>
  <c r="F106" i="18"/>
  <c r="G106" i="18"/>
  <c r="G104" i="18"/>
  <c r="E108" i="18"/>
  <c r="F108" i="18"/>
  <c r="G108" i="18"/>
  <c r="E109" i="18"/>
  <c r="F109" i="18"/>
  <c r="G109" i="18"/>
  <c r="E110" i="18"/>
  <c r="F110" i="18"/>
  <c r="G110" i="18"/>
  <c r="E111" i="18"/>
  <c r="F111" i="18"/>
  <c r="G111" i="18"/>
  <c r="G107" i="18"/>
  <c r="F113" i="18"/>
  <c r="G113" i="18"/>
  <c r="F114" i="18"/>
  <c r="G114" i="18"/>
  <c r="F115" i="18"/>
  <c r="G115" i="18"/>
  <c r="F116" i="18"/>
  <c r="G116" i="18"/>
  <c r="F117" i="18"/>
  <c r="G117" i="18"/>
  <c r="G112" i="18"/>
  <c r="E119" i="18"/>
  <c r="F119" i="18"/>
  <c r="G119" i="18"/>
  <c r="E120" i="18"/>
  <c r="F120" i="18"/>
  <c r="G120" i="18"/>
  <c r="E121" i="18"/>
  <c r="F121" i="18"/>
  <c r="G121" i="18"/>
  <c r="E122" i="18"/>
  <c r="F122" i="18"/>
  <c r="G122" i="18"/>
  <c r="E123" i="18"/>
  <c r="F123" i="18"/>
  <c r="G123" i="18"/>
  <c r="G118" i="18"/>
  <c r="E125" i="18"/>
  <c r="F125" i="18"/>
  <c r="G125" i="18"/>
  <c r="D126" i="18"/>
  <c r="E126" i="18"/>
  <c r="F126" i="18"/>
  <c r="G126" i="18"/>
  <c r="E127" i="18"/>
  <c r="F127" i="18"/>
  <c r="G127" i="18"/>
  <c r="G124" i="18"/>
  <c r="E129" i="18"/>
  <c r="F129" i="18"/>
  <c r="G129" i="18"/>
  <c r="E130" i="18"/>
  <c r="F130" i="18"/>
  <c r="G130" i="18"/>
  <c r="G128" i="18"/>
  <c r="F132" i="18"/>
  <c r="G132" i="18"/>
  <c r="F133" i="18"/>
  <c r="G133" i="18"/>
  <c r="F134" i="18"/>
  <c r="G134" i="18"/>
  <c r="F135" i="18"/>
  <c r="G135" i="18"/>
  <c r="F136" i="18"/>
  <c r="G136" i="18"/>
  <c r="G131" i="18"/>
  <c r="F138" i="18"/>
  <c r="G138" i="18"/>
  <c r="F139" i="18"/>
  <c r="G139" i="18"/>
  <c r="F140" i="18"/>
  <c r="G140" i="18"/>
  <c r="F141" i="18"/>
  <c r="G141" i="18"/>
  <c r="F142" i="18"/>
  <c r="G142" i="18"/>
  <c r="G137" i="18"/>
  <c r="F144" i="18"/>
  <c r="G144" i="18"/>
  <c r="F145" i="18"/>
  <c r="G145" i="18"/>
  <c r="F146" i="18"/>
  <c r="G146" i="18"/>
  <c r="F147" i="18"/>
  <c r="G147" i="18"/>
  <c r="F148" i="18"/>
  <c r="G148" i="18"/>
  <c r="G143" i="18"/>
  <c r="E153" i="18"/>
  <c r="F153" i="18"/>
  <c r="G153" i="18"/>
  <c r="E154" i="18"/>
  <c r="F154" i="18"/>
  <c r="G154" i="18"/>
  <c r="F155" i="18"/>
  <c r="G155" i="18"/>
  <c r="F156" i="18"/>
  <c r="G156" i="18"/>
  <c r="F157" i="18"/>
  <c r="G157" i="18"/>
  <c r="F158" i="18"/>
  <c r="G158" i="18"/>
  <c r="F159" i="18"/>
  <c r="G159" i="18"/>
  <c r="F160" i="18"/>
  <c r="G160" i="18"/>
  <c r="E161" i="18"/>
  <c r="F161" i="18"/>
  <c r="G161" i="18"/>
  <c r="E162" i="18"/>
  <c r="F162" i="18"/>
  <c r="G162" i="18"/>
  <c r="G164" i="18"/>
  <c r="E168" i="18"/>
  <c r="F168" i="18"/>
  <c r="G168" i="18"/>
  <c r="E169" i="18"/>
  <c r="F169" i="18"/>
  <c r="G169" i="18"/>
  <c r="E171" i="18"/>
  <c r="F171" i="18"/>
  <c r="G171" i="18"/>
  <c r="E172" i="18"/>
  <c r="F172" i="18"/>
  <c r="G172" i="18"/>
  <c r="E174" i="18"/>
  <c r="F174" i="18"/>
  <c r="G174" i="18"/>
  <c r="E176" i="18"/>
  <c r="F176" i="18"/>
  <c r="G176" i="18"/>
  <c r="E175" i="18"/>
  <c r="F175" i="18"/>
  <c r="G175" i="18"/>
  <c r="E177" i="18"/>
  <c r="F177" i="18"/>
  <c r="G177" i="18"/>
  <c r="E178" i="18"/>
  <c r="F178" i="18"/>
  <c r="G178" i="18"/>
  <c r="G183" i="18"/>
  <c r="E186" i="18"/>
  <c r="F186" i="18"/>
  <c r="G186" i="18"/>
  <c r="E187" i="18"/>
  <c r="F187" i="18"/>
  <c r="G187" i="18"/>
  <c r="E188" i="18"/>
  <c r="F188" i="18"/>
  <c r="G188" i="18"/>
  <c r="E189" i="18"/>
  <c r="F189" i="18"/>
  <c r="G189" i="18"/>
  <c r="E190" i="18"/>
  <c r="F190" i="18"/>
  <c r="G190" i="18"/>
  <c r="G192" i="18"/>
  <c r="F196" i="18"/>
  <c r="G196" i="18"/>
  <c r="E197" i="18"/>
  <c r="F197" i="18"/>
  <c r="G197" i="18"/>
  <c r="E198" i="18"/>
  <c r="F198" i="18"/>
  <c r="G198" i="18"/>
  <c r="E199" i="18"/>
  <c r="F199" i="18"/>
  <c r="G199" i="18"/>
  <c r="G201" i="18"/>
  <c r="F204" i="18"/>
  <c r="G204" i="18"/>
  <c r="F205" i="18"/>
  <c r="G205" i="18"/>
  <c r="E206" i="18"/>
  <c r="F206" i="18"/>
  <c r="G206" i="18"/>
  <c r="E207" i="18"/>
  <c r="F207" i="18"/>
  <c r="G207" i="18"/>
  <c r="G209" i="18"/>
  <c r="E212" i="18"/>
  <c r="F212" i="18"/>
  <c r="G212" i="18"/>
  <c r="E213" i="18"/>
  <c r="F213" i="18"/>
  <c r="G213" i="18"/>
  <c r="F214" i="18"/>
  <c r="G214" i="18"/>
  <c r="G216" i="18"/>
  <c r="G218" i="18"/>
  <c r="F83" i="12"/>
  <c r="F84" i="12"/>
  <c r="F85" i="12"/>
  <c r="F86" i="12"/>
  <c r="F87" i="12"/>
  <c r="F88" i="12"/>
  <c r="E91" i="12"/>
  <c r="F91" i="12"/>
  <c r="E92" i="12"/>
  <c r="F92" i="12"/>
  <c r="E93" i="12"/>
  <c r="F93" i="12"/>
  <c r="E94" i="12"/>
  <c r="F94" i="12"/>
  <c r="E95" i="12"/>
  <c r="F95" i="12"/>
  <c r="D96" i="12"/>
  <c r="E96" i="12"/>
  <c r="F96" i="12"/>
  <c r="E97" i="12"/>
  <c r="F97" i="12"/>
  <c r="E98" i="12"/>
  <c r="F98" i="12"/>
  <c r="E99" i="12"/>
  <c r="F99" i="12"/>
  <c r="F100" i="12"/>
  <c r="F104" i="12"/>
  <c r="F105" i="12"/>
  <c r="F106" i="12"/>
  <c r="F107" i="12"/>
  <c r="F108" i="12"/>
  <c r="F103" i="12"/>
  <c r="F110" i="12"/>
  <c r="F111" i="12"/>
  <c r="F112" i="12"/>
  <c r="F113" i="12"/>
  <c r="F114" i="12"/>
  <c r="F109" i="12"/>
  <c r="E116" i="12"/>
  <c r="F116" i="12"/>
  <c r="F117" i="12"/>
  <c r="F118" i="12"/>
  <c r="F119" i="12"/>
  <c r="F120" i="12"/>
  <c r="F115" i="12"/>
  <c r="F122" i="12"/>
  <c r="F123" i="12"/>
  <c r="F124" i="12"/>
  <c r="F125" i="12"/>
  <c r="F126" i="12"/>
  <c r="F121" i="12"/>
  <c r="F128" i="12"/>
  <c r="F129" i="12"/>
  <c r="F130" i="12"/>
  <c r="F131" i="12"/>
  <c r="F132" i="12"/>
  <c r="F127" i="12"/>
  <c r="F134" i="12"/>
  <c r="F135" i="12"/>
  <c r="F136" i="12"/>
  <c r="F137" i="12"/>
  <c r="F138" i="12"/>
  <c r="F133" i="12"/>
  <c r="F140" i="12"/>
  <c r="F141" i="12"/>
  <c r="F142" i="12"/>
  <c r="F143" i="12"/>
  <c r="F144" i="12"/>
  <c r="F139" i="12"/>
  <c r="F146" i="12"/>
  <c r="F147" i="12"/>
  <c r="F148" i="12"/>
  <c r="F149" i="12"/>
  <c r="F150" i="12"/>
  <c r="F145" i="12"/>
  <c r="F152" i="12"/>
  <c r="F153" i="12"/>
  <c r="F154" i="12"/>
  <c r="F155" i="12"/>
  <c r="F156" i="12"/>
  <c r="F151" i="12"/>
  <c r="F158" i="12"/>
  <c r="F159" i="12"/>
  <c r="F160" i="12"/>
  <c r="F161" i="12"/>
  <c r="F162" i="12"/>
  <c r="F157" i="12"/>
  <c r="F164" i="12"/>
  <c r="F167" i="12"/>
  <c r="F168" i="12"/>
  <c r="F169" i="12"/>
  <c r="F170" i="12"/>
  <c r="F171" i="12"/>
  <c r="F172" i="12"/>
  <c r="F173" i="12"/>
  <c r="F174" i="12"/>
  <c r="F176" i="12"/>
  <c r="F180" i="12"/>
  <c r="F181" i="12"/>
  <c r="F183" i="12"/>
  <c r="F184" i="12"/>
  <c r="E186" i="12"/>
  <c r="F186" i="12"/>
  <c r="F187" i="12"/>
  <c r="E188" i="12"/>
  <c r="F188" i="12"/>
  <c r="F189" i="12"/>
  <c r="F190" i="12"/>
  <c r="F198" i="12"/>
  <c r="F199" i="12"/>
  <c r="F200" i="12"/>
  <c r="F201" i="12"/>
  <c r="F202" i="12"/>
  <c r="F204" i="12"/>
  <c r="F208" i="12"/>
  <c r="F209" i="12"/>
  <c r="F210" i="12"/>
  <c r="F211" i="12"/>
  <c r="F216" i="12"/>
  <c r="F217" i="12"/>
  <c r="F218" i="12"/>
  <c r="F219" i="12"/>
  <c r="F221" i="12"/>
  <c r="F224" i="12"/>
  <c r="F225" i="12"/>
  <c r="F226" i="12"/>
  <c r="F228" i="12"/>
  <c r="F240" i="10"/>
  <c r="G240" i="10"/>
  <c r="F236" i="19"/>
  <c r="G236" i="19"/>
  <c r="E240" i="14"/>
  <c r="F240" i="14"/>
  <c r="G240" i="14"/>
  <c r="E193" i="16"/>
  <c r="F193" i="16"/>
  <c r="G193" i="16"/>
  <c r="E194" i="15"/>
  <c r="F194" i="15"/>
  <c r="G194" i="15"/>
  <c r="E260" i="17"/>
  <c r="F260" i="17"/>
  <c r="G260" i="17"/>
  <c r="E222" i="18"/>
  <c r="F222" i="18"/>
  <c r="G222" i="18"/>
  <c r="E234" i="12"/>
  <c r="F234" i="12"/>
  <c r="G234" i="12"/>
  <c r="J178" i="4"/>
  <c r="F241" i="10"/>
  <c r="G241" i="10"/>
  <c r="F237" i="19"/>
  <c r="G237" i="19"/>
  <c r="E241" i="14"/>
  <c r="F241" i="14"/>
  <c r="G241" i="14"/>
  <c r="E194" i="16"/>
  <c r="F194" i="16"/>
  <c r="G194" i="16"/>
  <c r="E195" i="15"/>
  <c r="F195" i="15"/>
  <c r="G195" i="15"/>
  <c r="E261" i="17"/>
  <c r="F261" i="17"/>
  <c r="G261" i="17"/>
  <c r="E223" i="18"/>
  <c r="F223" i="18"/>
  <c r="G223" i="18"/>
  <c r="E235" i="12"/>
  <c r="F235" i="12"/>
  <c r="G235" i="12"/>
  <c r="J179" i="4"/>
  <c r="J190" i="4" s="1"/>
  <c r="F242" i="10"/>
  <c r="G242" i="10"/>
  <c r="F243" i="10"/>
  <c r="G243" i="10"/>
  <c r="F238" i="19"/>
  <c r="G238" i="19"/>
  <c r="E242" i="14"/>
  <c r="F242" i="14"/>
  <c r="G242" i="14"/>
  <c r="E243" i="14"/>
  <c r="F243" i="14"/>
  <c r="G243" i="14"/>
  <c r="E195" i="16"/>
  <c r="F195" i="16"/>
  <c r="G195" i="16"/>
  <c r="E196" i="16"/>
  <c r="F196" i="16"/>
  <c r="G196" i="16"/>
  <c r="E197" i="16"/>
  <c r="F197" i="16"/>
  <c r="G197" i="16"/>
  <c r="E198" i="16"/>
  <c r="F198" i="16"/>
  <c r="G198" i="16"/>
  <c r="E199" i="16"/>
  <c r="F199" i="16"/>
  <c r="G199" i="16"/>
  <c r="E200" i="16"/>
  <c r="F200" i="16"/>
  <c r="G200" i="16"/>
  <c r="E201" i="16"/>
  <c r="F201" i="16"/>
  <c r="G201" i="16"/>
  <c r="E202" i="16"/>
  <c r="F202" i="16"/>
  <c r="G202" i="16"/>
  <c r="E203" i="16"/>
  <c r="F203" i="16"/>
  <c r="G203" i="16"/>
  <c r="E196" i="15"/>
  <c r="F196" i="15"/>
  <c r="G196" i="15"/>
  <c r="E197" i="15"/>
  <c r="F197" i="15"/>
  <c r="G197" i="15"/>
  <c r="E262" i="17"/>
  <c r="F262" i="17"/>
  <c r="G262" i="17"/>
  <c r="E263" i="17"/>
  <c r="F263" i="17"/>
  <c r="G263" i="17"/>
  <c r="E224" i="18"/>
  <c r="F224" i="18"/>
  <c r="G224" i="18"/>
  <c r="E236" i="12"/>
  <c r="F236" i="12"/>
  <c r="G236" i="12"/>
  <c r="E237" i="12"/>
  <c r="F237" i="12"/>
  <c r="G237" i="12"/>
  <c r="E238" i="12"/>
  <c r="F238" i="12"/>
  <c r="G238" i="12"/>
  <c r="E239" i="12"/>
  <c r="F239" i="12"/>
  <c r="G239" i="12"/>
  <c r="D240" i="12"/>
  <c r="E240" i="12"/>
  <c r="F240" i="12"/>
  <c r="G240" i="12"/>
  <c r="J180" i="4"/>
  <c r="F245" i="10"/>
  <c r="G245" i="10"/>
  <c r="F240" i="19"/>
  <c r="G240" i="19"/>
  <c r="E245" i="14"/>
  <c r="F245" i="14"/>
  <c r="G245" i="14"/>
  <c r="E205" i="16"/>
  <c r="F205" i="16"/>
  <c r="G205" i="16"/>
  <c r="E200" i="15"/>
  <c r="F200" i="15"/>
  <c r="G200" i="15"/>
  <c r="E265" i="17"/>
  <c r="F265" i="17"/>
  <c r="G265" i="17"/>
  <c r="E226" i="18"/>
  <c r="F226" i="18"/>
  <c r="G226" i="18"/>
  <c r="E242" i="12"/>
  <c r="F242" i="12"/>
  <c r="G242" i="12"/>
  <c r="J182" i="4"/>
  <c r="F246" i="10"/>
  <c r="G246" i="10"/>
  <c r="F241" i="19"/>
  <c r="G241" i="19"/>
  <c r="E246" i="14"/>
  <c r="F246" i="14"/>
  <c r="G246" i="14"/>
  <c r="E206" i="16"/>
  <c r="F206" i="16"/>
  <c r="G206" i="16"/>
  <c r="E201" i="15"/>
  <c r="F201" i="15"/>
  <c r="G201" i="15"/>
  <c r="E266" i="17"/>
  <c r="F266" i="17"/>
  <c r="G266" i="17"/>
  <c r="E227" i="18"/>
  <c r="F227" i="18"/>
  <c r="G227" i="18"/>
  <c r="F243" i="12"/>
  <c r="G243" i="12"/>
  <c r="J183" i="4"/>
  <c r="Y183" i="4" s="1"/>
  <c r="F247" i="10"/>
  <c r="G247" i="10"/>
  <c r="F242" i="19"/>
  <c r="G242" i="19"/>
  <c r="E247" i="14"/>
  <c r="F247" i="14"/>
  <c r="G247" i="14"/>
  <c r="E207" i="16"/>
  <c r="F207" i="16"/>
  <c r="G207" i="16"/>
  <c r="E202" i="15"/>
  <c r="F202" i="15"/>
  <c r="G202" i="15"/>
  <c r="E267" i="17"/>
  <c r="F267" i="17"/>
  <c r="G267" i="17"/>
  <c r="E228" i="18"/>
  <c r="F228" i="18"/>
  <c r="G228" i="18"/>
  <c r="F244" i="12"/>
  <c r="G244" i="12"/>
  <c r="J184" i="4"/>
  <c r="F249" i="10"/>
  <c r="G249" i="10"/>
  <c r="F244" i="19"/>
  <c r="G244" i="19"/>
  <c r="E249" i="14"/>
  <c r="F249" i="14"/>
  <c r="G249" i="14"/>
  <c r="E209" i="16"/>
  <c r="F209" i="16"/>
  <c r="G209" i="16"/>
  <c r="E204" i="15"/>
  <c r="F204" i="15"/>
  <c r="G204" i="15"/>
  <c r="E269" i="17"/>
  <c r="F269" i="17"/>
  <c r="G269" i="17"/>
  <c r="E230" i="18"/>
  <c r="F230" i="18"/>
  <c r="G230" i="18"/>
  <c r="F246" i="12"/>
  <c r="G246" i="12"/>
  <c r="J186" i="4"/>
  <c r="Y186" i="4" s="1"/>
  <c r="F251" i="10"/>
  <c r="G251" i="10"/>
  <c r="F246" i="19"/>
  <c r="G246" i="19"/>
  <c r="E251" i="14"/>
  <c r="F251" i="14"/>
  <c r="G251" i="14"/>
  <c r="E252" i="14"/>
  <c r="F252" i="14"/>
  <c r="G252" i="14"/>
  <c r="E253" i="14"/>
  <c r="F253" i="14"/>
  <c r="G253" i="14"/>
  <c r="E254" i="14"/>
  <c r="F254" i="14"/>
  <c r="G254" i="14"/>
  <c r="F211" i="16"/>
  <c r="G211" i="16"/>
  <c r="F212" i="16"/>
  <c r="G212" i="16"/>
  <c r="F213" i="16"/>
  <c r="G213" i="16"/>
  <c r="E206" i="15"/>
  <c r="F206" i="15"/>
  <c r="G206" i="15"/>
  <c r="E271" i="17"/>
  <c r="F271" i="17"/>
  <c r="G271" i="17"/>
  <c r="F232" i="18"/>
  <c r="G232" i="18"/>
  <c r="E233" i="18"/>
  <c r="F233" i="18"/>
  <c r="G233" i="18"/>
  <c r="F248" i="12"/>
  <c r="G248" i="12"/>
  <c r="J188" i="4"/>
  <c r="Z188" i="4" s="1"/>
  <c r="J18" i="4"/>
  <c r="J19" i="4"/>
  <c r="J20" i="4"/>
  <c r="J21" i="4"/>
  <c r="J22" i="4"/>
  <c r="J23" i="4"/>
  <c r="J24" i="4"/>
  <c r="J25" i="4"/>
  <c r="J26" i="4"/>
  <c r="J27" i="4"/>
  <c r="J28" i="4"/>
  <c r="J32" i="4"/>
  <c r="J33" i="4"/>
  <c r="J34" i="4"/>
  <c r="J35" i="4"/>
  <c r="J36" i="4"/>
  <c r="J37" i="4"/>
  <c r="J38" i="4"/>
  <c r="J39" i="4"/>
  <c r="J40" i="4"/>
  <c r="J41" i="4"/>
  <c r="J42" i="4"/>
  <c r="J43" i="4"/>
  <c r="J47" i="4"/>
  <c r="J48" i="4"/>
  <c r="J49" i="4"/>
  <c r="J50" i="4"/>
  <c r="J51" i="4"/>
  <c r="J52" i="4"/>
  <c r="J53" i="4"/>
  <c r="J54" i="4"/>
  <c r="J55" i="4"/>
  <c r="J56" i="4"/>
  <c r="J57" i="4"/>
  <c r="J61" i="4"/>
  <c r="J62" i="4"/>
  <c r="J63" i="4"/>
  <c r="J64" i="4"/>
  <c r="J65" i="4"/>
  <c r="J66" i="4"/>
  <c r="J67" i="4"/>
  <c r="J68" i="4"/>
  <c r="J69" i="4"/>
  <c r="J70" i="4"/>
  <c r="J71" i="4"/>
  <c r="J73" i="4"/>
  <c r="G253" i="12"/>
  <c r="G255" i="12" s="1"/>
  <c r="G83" i="12"/>
  <c r="G18" i="18"/>
  <c r="G19" i="18"/>
  <c r="G20" i="18"/>
  <c r="G21" i="18"/>
  <c r="G22" i="18"/>
  <c r="G23" i="18"/>
  <c r="G24" i="18"/>
  <c r="G25" i="18"/>
  <c r="G26" i="18"/>
  <c r="G27" i="18"/>
  <c r="G28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7" i="18"/>
  <c r="G48" i="18"/>
  <c r="G49" i="18"/>
  <c r="G50" i="18"/>
  <c r="G51" i="18"/>
  <c r="G52" i="18"/>
  <c r="G53" i="18"/>
  <c r="G54" i="18"/>
  <c r="G55" i="18"/>
  <c r="G56" i="18"/>
  <c r="G57" i="18"/>
  <c r="G61" i="18"/>
  <c r="G62" i="18"/>
  <c r="G63" i="18"/>
  <c r="G64" i="18"/>
  <c r="G65" i="18"/>
  <c r="G66" i="18"/>
  <c r="G67" i="18"/>
  <c r="G68" i="18"/>
  <c r="G69" i="18"/>
  <c r="G70" i="18"/>
  <c r="G71" i="18"/>
  <c r="G73" i="18"/>
  <c r="G273" i="17"/>
  <c r="G278" i="17"/>
  <c r="G280" i="17"/>
  <c r="G282" i="17" s="1"/>
  <c r="G18" i="17"/>
  <c r="G19" i="17"/>
  <c r="G20" i="17"/>
  <c r="G21" i="17"/>
  <c r="G22" i="17"/>
  <c r="G23" i="17"/>
  <c r="G24" i="17"/>
  <c r="G25" i="17"/>
  <c r="G26" i="17"/>
  <c r="G27" i="17"/>
  <c r="G28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7" i="17"/>
  <c r="G48" i="17"/>
  <c r="G49" i="17"/>
  <c r="G50" i="17"/>
  <c r="G51" i="17"/>
  <c r="G52" i="17"/>
  <c r="G53" i="17"/>
  <c r="G54" i="17"/>
  <c r="G55" i="17"/>
  <c r="G56" i="17"/>
  <c r="G57" i="17"/>
  <c r="G61" i="17"/>
  <c r="G62" i="17"/>
  <c r="G63" i="17"/>
  <c r="G64" i="17"/>
  <c r="G65" i="17"/>
  <c r="G66" i="17"/>
  <c r="G67" i="17"/>
  <c r="G68" i="17"/>
  <c r="G69" i="17"/>
  <c r="G70" i="17"/>
  <c r="G71" i="17"/>
  <c r="G73" i="17"/>
  <c r="G208" i="15"/>
  <c r="F204" i="16"/>
  <c r="G204" i="16"/>
  <c r="F208" i="16"/>
  <c r="G208" i="16"/>
  <c r="F210" i="16"/>
  <c r="G210" i="16"/>
  <c r="G218" i="16"/>
  <c r="G216" i="16" s="1"/>
  <c r="G220" i="16"/>
  <c r="G222" i="16" s="1"/>
  <c r="G224" i="16" s="1"/>
  <c r="F239" i="14"/>
  <c r="G239" i="14"/>
  <c r="G255" i="14"/>
  <c r="G260" i="14"/>
  <c r="G262" i="14" s="1"/>
  <c r="G264" i="14" s="1"/>
  <c r="G248" i="19"/>
  <c r="G253" i="19"/>
  <c r="G257" i="19" s="1"/>
  <c r="G253" i="11"/>
  <c r="G256" i="11"/>
  <c r="G258" i="11"/>
  <c r="G260" i="11"/>
  <c r="G256" i="10"/>
  <c r="G258" i="10" s="1"/>
  <c r="G260" i="10" s="1"/>
  <c r="G85" i="16"/>
  <c r="G86" i="16"/>
  <c r="G87" i="16"/>
  <c r="G88" i="16"/>
  <c r="G89" i="16"/>
  <c r="G90" i="16"/>
  <c r="G84" i="16"/>
  <c r="G131" i="13"/>
  <c r="G132" i="13"/>
  <c r="G133" i="13"/>
  <c r="G134" i="13"/>
  <c r="G135" i="13"/>
  <c r="G130" i="13"/>
  <c r="G134" i="12"/>
  <c r="G135" i="12"/>
  <c r="G136" i="12"/>
  <c r="G137" i="12"/>
  <c r="G138" i="12"/>
  <c r="G133" i="12"/>
  <c r="J106" i="4"/>
  <c r="F9" i="9" s="1"/>
  <c r="G79" i="16"/>
  <c r="G80" i="16"/>
  <c r="G81" i="16"/>
  <c r="G82" i="16"/>
  <c r="G83" i="16"/>
  <c r="G78" i="16"/>
  <c r="G125" i="13"/>
  <c r="G126" i="13"/>
  <c r="G127" i="13"/>
  <c r="G128" i="13"/>
  <c r="G129" i="13"/>
  <c r="G124" i="13"/>
  <c r="G128" i="12"/>
  <c r="G129" i="12"/>
  <c r="G130" i="12"/>
  <c r="G131" i="12"/>
  <c r="G132" i="12"/>
  <c r="G127" i="12"/>
  <c r="J105" i="4"/>
  <c r="F8" i="9" s="1"/>
  <c r="G143" i="13"/>
  <c r="G144" i="13"/>
  <c r="G145" i="13"/>
  <c r="G146" i="13"/>
  <c r="G147" i="13"/>
  <c r="G142" i="13"/>
  <c r="G98" i="16"/>
  <c r="G99" i="16"/>
  <c r="G100" i="16"/>
  <c r="G101" i="16"/>
  <c r="G102" i="16"/>
  <c r="G97" i="16"/>
  <c r="G146" i="12"/>
  <c r="G147" i="12"/>
  <c r="G148" i="12"/>
  <c r="G149" i="12"/>
  <c r="G150" i="12"/>
  <c r="G145" i="12"/>
  <c r="J108" i="4"/>
  <c r="I11" i="9" s="1"/>
  <c r="G137" i="13"/>
  <c r="G138" i="13"/>
  <c r="G139" i="13"/>
  <c r="G140" i="13"/>
  <c r="G141" i="13"/>
  <c r="G136" i="13"/>
  <c r="G92" i="16"/>
  <c r="G93" i="16"/>
  <c r="G94" i="16"/>
  <c r="G95" i="16"/>
  <c r="G96" i="16"/>
  <c r="G91" i="16"/>
  <c r="G140" i="12"/>
  <c r="G141" i="12"/>
  <c r="G142" i="12"/>
  <c r="G143" i="12"/>
  <c r="G144" i="12"/>
  <c r="G139" i="12"/>
  <c r="J107" i="4"/>
  <c r="H10" i="9" s="1"/>
  <c r="K9" i="9"/>
  <c r="K8" i="9"/>
  <c r="G119" i="13"/>
  <c r="G120" i="13"/>
  <c r="G121" i="13"/>
  <c r="G122" i="13"/>
  <c r="G123" i="13"/>
  <c r="G118" i="13"/>
  <c r="F126" i="11"/>
  <c r="G126" i="11"/>
  <c r="F127" i="11"/>
  <c r="G127" i="11"/>
  <c r="F128" i="11"/>
  <c r="G128" i="11"/>
  <c r="F129" i="11"/>
  <c r="G129" i="11"/>
  <c r="F130" i="11"/>
  <c r="G130" i="11"/>
  <c r="G125" i="11"/>
  <c r="G72" i="16"/>
  <c r="G73" i="16"/>
  <c r="G74" i="16"/>
  <c r="G75" i="16"/>
  <c r="G76" i="16"/>
  <c r="G77" i="16"/>
  <c r="G71" i="16"/>
  <c r="G122" i="12"/>
  <c r="G123" i="12"/>
  <c r="G124" i="12"/>
  <c r="G125" i="12"/>
  <c r="G126" i="12"/>
  <c r="G121" i="12"/>
  <c r="J104" i="4"/>
  <c r="K7" i="9" s="1"/>
  <c r="G113" i="13"/>
  <c r="G114" i="13"/>
  <c r="G115" i="13"/>
  <c r="G116" i="13"/>
  <c r="G117" i="13"/>
  <c r="G112" i="13"/>
  <c r="G70" i="16"/>
  <c r="G69" i="16"/>
  <c r="G116" i="12"/>
  <c r="G117" i="12"/>
  <c r="G118" i="12"/>
  <c r="G119" i="12"/>
  <c r="G120" i="12"/>
  <c r="G115" i="12"/>
  <c r="J103" i="4"/>
  <c r="K6" i="9" s="1"/>
  <c r="G107" i="13"/>
  <c r="G108" i="13"/>
  <c r="G109" i="13"/>
  <c r="G110" i="13"/>
  <c r="G111" i="13"/>
  <c r="G106" i="13"/>
  <c r="G68" i="16"/>
  <c r="G67" i="16"/>
  <c r="G110" i="12"/>
  <c r="G111" i="12"/>
  <c r="G112" i="12"/>
  <c r="G113" i="12"/>
  <c r="G114" i="12"/>
  <c r="G109" i="12"/>
  <c r="J102" i="4"/>
  <c r="K5" i="9" s="1"/>
  <c r="J11" i="9"/>
  <c r="J9" i="9"/>
  <c r="J8" i="9"/>
  <c r="J5" i="9"/>
  <c r="I10" i="9"/>
  <c r="I8" i="9"/>
  <c r="H11" i="9"/>
  <c r="H9" i="9"/>
  <c r="H7" i="9"/>
  <c r="G10" i="9"/>
  <c r="G9" i="9"/>
  <c r="G8" i="9"/>
  <c r="G6" i="9"/>
  <c r="F11" i="9"/>
  <c r="F7" i="9"/>
  <c r="E10" i="9"/>
  <c r="E9" i="9"/>
  <c r="E8" i="9"/>
  <c r="E6" i="9"/>
  <c r="D11" i="9"/>
  <c r="D9" i="9"/>
  <c r="C11" i="9"/>
  <c r="C9" i="9"/>
  <c r="C8" i="9"/>
  <c r="C7" i="9"/>
  <c r="B10" i="9"/>
  <c r="B9" i="9"/>
  <c r="B8" i="9"/>
  <c r="B6" i="9"/>
  <c r="G66" i="16"/>
  <c r="G65" i="16"/>
  <c r="G101" i="13"/>
  <c r="G102" i="13"/>
  <c r="G103" i="13"/>
  <c r="G104" i="13"/>
  <c r="G105" i="13"/>
  <c r="G100" i="13"/>
  <c r="G104" i="12"/>
  <c r="G105" i="12"/>
  <c r="G106" i="12"/>
  <c r="G107" i="12"/>
  <c r="G108" i="12"/>
  <c r="G103" i="12"/>
  <c r="J101" i="4"/>
  <c r="E4" i="9" s="1"/>
  <c r="F223" i="11"/>
  <c r="G223" i="11"/>
  <c r="E224" i="11"/>
  <c r="F224" i="11"/>
  <c r="G224" i="11"/>
  <c r="F225" i="11"/>
  <c r="G225" i="11"/>
  <c r="F226" i="11"/>
  <c r="G226" i="11"/>
  <c r="E227" i="11"/>
  <c r="F227" i="11"/>
  <c r="G227" i="11"/>
  <c r="G228" i="11"/>
  <c r="G170" i="16"/>
  <c r="G171" i="16"/>
  <c r="G172" i="16"/>
  <c r="G173" i="16"/>
  <c r="G175" i="16"/>
  <c r="G213" i="13"/>
  <c r="G214" i="13"/>
  <c r="G215" i="13"/>
  <c r="G216" i="13"/>
  <c r="G217" i="13"/>
  <c r="G219" i="13"/>
  <c r="G216" i="12"/>
  <c r="G217" i="12"/>
  <c r="G218" i="12"/>
  <c r="G219" i="12"/>
  <c r="G221" i="12"/>
  <c r="J165" i="4"/>
  <c r="Y165" i="4" s="1"/>
  <c r="Z165" i="4" s="1"/>
  <c r="F228" i="11"/>
  <c r="C10" i="12"/>
  <c r="C9" i="12"/>
  <c r="C10" i="13"/>
  <c r="C9" i="13"/>
  <c r="C10" i="18"/>
  <c r="C9" i="18"/>
  <c r="F247" i="13"/>
  <c r="F95" i="18"/>
  <c r="F98" i="18"/>
  <c r="F104" i="18"/>
  <c r="F107" i="18"/>
  <c r="F112" i="18"/>
  <c r="F118" i="18"/>
  <c r="F124" i="18"/>
  <c r="F128" i="18"/>
  <c r="F131" i="18"/>
  <c r="F137" i="18"/>
  <c r="F143" i="18"/>
  <c r="F150" i="18"/>
  <c r="F164" i="18"/>
  <c r="F183" i="18"/>
  <c r="F192" i="18"/>
  <c r="F201" i="18"/>
  <c r="F209" i="18"/>
  <c r="F216" i="18"/>
  <c r="F218" i="18"/>
  <c r="F239" i="18"/>
  <c r="F241" i="18" s="1"/>
  <c r="F243" i="18" s="1"/>
  <c r="F28" i="18"/>
  <c r="F42" i="18"/>
  <c r="F57" i="18"/>
  <c r="F71" i="18"/>
  <c r="F73" i="18"/>
  <c r="F246" i="17"/>
  <c r="F273" i="17"/>
  <c r="C10" i="17"/>
  <c r="C9" i="17"/>
  <c r="E180" i="15"/>
  <c r="F180" i="15"/>
  <c r="G180" i="15"/>
  <c r="C10" i="15"/>
  <c r="C9" i="15"/>
  <c r="G104" i="16"/>
  <c r="G105" i="16"/>
  <c r="G106" i="16"/>
  <c r="G107" i="16"/>
  <c r="G108" i="16"/>
  <c r="G103" i="16"/>
  <c r="G110" i="16"/>
  <c r="G111" i="16"/>
  <c r="G112" i="16"/>
  <c r="G113" i="16"/>
  <c r="G114" i="16"/>
  <c r="G109" i="16"/>
  <c r="F215" i="16"/>
  <c r="F218" i="16"/>
  <c r="F174" i="16"/>
  <c r="G174" i="16"/>
  <c r="C10" i="16"/>
  <c r="C9" i="16"/>
  <c r="C10" i="14"/>
  <c r="C10" i="19"/>
  <c r="C9" i="19"/>
  <c r="C14" i="11"/>
  <c r="C13" i="11"/>
  <c r="C10" i="10"/>
  <c r="C9" i="10"/>
  <c r="C9" i="14"/>
  <c r="F114" i="11"/>
  <c r="E94" i="15"/>
  <c r="E93" i="15"/>
  <c r="E92" i="15"/>
  <c r="E91" i="15"/>
  <c r="E90" i="15"/>
  <c r="E89" i="15"/>
  <c r="E88" i="15"/>
  <c r="S89" i="15"/>
  <c r="S244" i="19"/>
  <c r="T244" i="19"/>
  <c r="T238" i="19"/>
  <c r="S237" i="19"/>
  <c r="S228" i="19"/>
  <c r="T227" i="19"/>
  <c r="S227" i="19"/>
  <c r="T221" i="19"/>
  <c r="S220" i="19"/>
  <c r="T220" i="19"/>
  <c r="S213" i="19"/>
  <c r="S211" i="19"/>
  <c r="S203" i="19"/>
  <c r="T203" i="19"/>
  <c r="S202" i="19"/>
  <c r="F196" i="19"/>
  <c r="T190" i="19"/>
  <c r="S189" i="19"/>
  <c r="S186" i="19"/>
  <c r="S182" i="19"/>
  <c r="T182" i="19"/>
  <c r="S176" i="19"/>
  <c r="S175" i="19"/>
  <c r="F174" i="19"/>
  <c r="F173" i="19"/>
  <c r="F172" i="19"/>
  <c r="S171" i="19"/>
  <c r="T170" i="19"/>
  <c r="T169" i="19"/>
  <c r="S168" i="19"/>
  <c r="T161" i="19"/>
  <c r="S160" i="19"/>
  <c r="T156" i="19"/>
  <c r="S155" i="19"/>
  <c r="T154" i="19"/>
  <c r="T153" i="19"/>
  <c r="T150" i="19"/>
  <c r="S149" i="19"/>
  <c r="T148" i="19"/>
  <c r="S147" i="19"/>
  <c r="T146" i="19"/>
  <c r="T144" i="19"/>
  <c r="T142" i="19"/>
  <c r="S141" i="19"/>
  <c r="T138" i="19"/>
  <c r="S137" i="19"/>
  <c r="S132" i="19"/>
  <c r="T130" i="19"/>
  <c r="T129" i="19"/>
  <c r="T128" i="19"/>
  <c r="T126" i="19"/>
  <c r="T125" i="19"/>
  <c r="T124" i="19"/>
  <c r="S123" i="19"/>
  <c r="S122" i="19"/>
  <c r="T120" i="19"/>
  <c r="S120" i="19"/>
  <c r="S119" i="19"/>
  <c r="S118" i="19"/>
  <c r="T117" i="19"/>
  <c r="T116" i="19"/>
  <c r="T114" i="19"/>
  <c r="S113" i="19"/>
  <c r="T112" i="19"/>
  <c r="S110" i="19"/>
  <c r="S107" i="19"/>
  <c r="S106" i="19"/>
  <c r="T105" i="19"/>
  <c r="S104" i="19"/>
  <c r="S95" i="19"/>
  <c r="T88" i="19"/>
  <c r="T87" i="19"/>
  <c r="S85" i="19"/>
  <c r="S83" i="19"/>
  <c r="T81" i="19"/>
  <c r="S81" i="19"/>
  <c r="F71" i="19"/>
  <c r="F57" i="19"/>
  <c r="F42" i="19"/>
  <c r="F28" i="19"/>
  <c r="U234" i="18"/>
  <c r="U232" i="18"/>
  <c r="G231" i="18"/>
  <c r="U230" i="18"/>
  <c r="V230" i="18"/>
  <c r="W230" i="18"/>
  <c r="U228" i="18"/>
  <c r="U227" i="18"/>
  <c r="U226" i="18"/>
  <c r="G225" i="18"/>
  <c r="U224" i="18"/>
  <c r="U223" i="18"/>
  <c r="U222" i="18"/>
  <c r="U218" i="18"/>
  <c r="U216" i="18"/>
  <c r="U214" i="18"/>
  <c r="U213" i="18"/>
  <c r="U212" i="18"/>
  <c r="S212" i="18"/>
  <c r="T212" i="18"/>
  <c r="U209" i="18"/>
  <c r="U207" i="18"/>
  <c r="U206" i="18"/>
  <c r="U205" i="18"/>
  <c r="S205" i="18"/>
  <c r="U204" i="18"/>
  <c r="W204" i="18"/>
  <c r="U201" i="18"/>
  <c r="U199" i="18"/>
  <c r="U198" i="18"/>
  <c r="U197" i="18"/>
  <c r="U196" i="18"/>
  <c r="T196" i="18"/>
  <c r="U192" i="18"/>
  <c r="U190" i="18"/>
  <c r="S190" i="18"/>
  <c r="T190" i="18"/>
  <c r="U189" i="18"/>
  <c r="U188" i="18"/>
  <c r="U187" i="18"/>
  <c r="U186" i="18"/>
  <c r="U183" i="18"/>
  <c r="U182" i="18"/>
  <c r="U181" i="18"/>
  <c r="U180" i="18"/>
  <c r="U178" i="18"/>
  <c r="U177" i="18"/>
  <c r="U176" i="18"/>
  <c r="V176" i="18"/>
  <c r="U175" i="18"/>
  <c r="U174" i="18"/>
  <c r="U172" i="18"/>
  <c r="U171" i="18"/>
  <c r="U169" i="18"/>
  <c r="U168" i="18"/>
  <c r="U164" i="18"/>
  <c r="U162" i="18"/>
  <c r="S162" i="18"/>
  <c r="U161" i="18"/>
  <c r="U158" i="18"/>
  <c r="S158" i="18"/>
  <c r="U157" i="18"/>
  <c r="W157" i="18"/>
  <c r="U156" i="18"/>
  <c r="T156" i="18"/>
  <c r="U155" i="18"/>
  <c r="T155" i="18"/>
  <c r="U154" i="18"/>
  <c r="U153" i="18"/>
  <c r="S153" i="18"/>
  <c r="U150" i="18"/>
  <c r="U148" i="18"/>
  <c r="S148" i="18"/>
  <c r="U147" i="18"/>
  <c r="U146" i="18"/>
  <c r="S146" i="18"/>
  <c r="U145" i="18"/>
  <c r="S145" i="18"/>
  <c r="U144" i="18"/>
  <c r="U143" i="18"/>
  <c r="U142" i="18"/>
  <c r="T142" i="18"/>
  <c r="U141" i="18"/>
  <c r="T141" i="18"/>
  <c r="U140" i="18"/>
  <c r="U139" i="18"/>
  <c r="T139" i="18"/>
  <c r="U138" i="18"/>
  <c r="S138" i="18"/>
  <c r="U137" i="18"/>
  <c r="U136" i="18"/>
  <c r="S136" i="18"/>
  <c r="U135" i="18"/>
  <c r="U134" i="18"/>
  <c r="T134" i="18"/>
  <c r="U133" i="18"/>
  <c r="T133" i="18"/>
  <c r="U132" i="18"/>
  <c r="U131" i="18"/>
  <c r="Y130" i="18"/>
  <c r="U130" i="18"/>
  <c r="Y129" i="18"/>
  <c r="U129" i="18"/>
  <c r="S129" i="18"/>
  <c r="U128" i="18"/>
  <c r="Y127" i="18"/>
  <c r="U127" i="18"/>
  <c r="U126" i="18"/>
  <c r="Y126" i="18"/>
  <c r="Y125" i="18"/>
  <c r="U125" i="18"/>
  <c r="S125" i="18"/>
  <c r="T125" i="18"/>
  <c r="U124" i="18"/>
  <c r="Y123" i="18"/>
  <c r="U123" i="18"/>
  <c r="S123" i="18"/>
  <c r="Y122" i="18"/>
  <c r="U122" i="18"/>
  <c r="Y121" i="18"/>
  <c r="U121" i="18"/>
  <c r="Y120" i="18"/>
  <c r="U120" i="18"/>
  <c r="Y119" i="18"/>
  <c r="U119" i="18"/>
  <c r="U118" i="18"/>
  <c r="U117" i="18"/>
  <c r="S117" i="18"/>
  <c r="U116" i="18"/>
  <c r="U115" i="18"/>
  <c r="U114" i="18"/>
  <c r="S114" i="18"/>
  <c r="U113" i="18"/>
  <c r="S113" i="18"/>
  <c r="U112" i="18"/>
  <c r="Y111" i="18"/>
  <c r="U111" i="18"/>
  <c r="Y110" i="18"/>
  <c r="U110" i="18"/>
  <c r="Y109" i="18"/>
  <c r="U109" i="18"/>
  <c r="Y108" i="18"/>
  <c r="U108" i="18"/>
  <c r="S108" i="18"/>
  <c r="U107" i="18"/>
  <c r="Y106" i="18"/>
  <c r="U106" i="18"/>
  <c r="S106" i="18"/>
  <c r="Y105" i="18"/>
  <c r="U105" i="18"/>
  <c r="U104" i="18"/>
  <c r="Y103" i="18"/>
  <c r="U103" i="18"/>
  <c r="S103" i="18"/>
  <c r="U102" i="18"/>
  <c r="Y102" i="18"/>
  <c r="Y101" i="18"/>
  <c r="U101" i="18"/>
  <c r="Y100" i="18"/>
  <c r="U100" i="18"/>
  <c r="Y99" i="18"/>
  <c r="U99" i="18"/>
  <c r="U98" i="18"/>
  <c r="U95" i="18"/>
  <c r="U94" i="18"/>
  <c r="U93" i="18"/>
  <c r="W93" i="18"/>
  <c r="U92" i="18"/>
  <c r="U91" i="18"/>
  <c r="U90" i="18"/>
  <c r="U89" i="18"/>
  <c r="U86" i="18"/>
  <c r="U85" i="18"/>
  <c r="U84" i="18"/>
  <c r="U83" i="18"/>
  <c r="U81" i="18"/>
  <c r="F6" i="18"/>
  <c r="T111" i="19"/>
  <c r="S111" i="19"/>
  <c r="W111" i="19"/>
  <c r="S152" i="19"/>
  <c r="S86" i="19"/>
  <c r="G24" i="19"/>
  <c r="G34" i="19"/>
  <c r="G62" i="19"/>
  <c r="W88" i="19"/>
  <c r="T107" i="19"/>
  <c r="U111" i="19"/>
  <c r="T123" i="19"/>
  <c r="U248" i="19"/>
  <c r="U241" i="19"/>
  <c r="U236" i="19"/>
  <c r="U213" i="19"/>
  <c r="U206" i="19"/>
  <c r="U190" i="19"/>
  <c r="U185" i="19"/>
  <c r="U176" i="19"/>
  <c r="U170" i="19"/>
  <c r="U237" i="19"/>
  <c r="U221" i="19"/>
  <c r="U215" i="19"/>
  <c r="U210" i="19"/>
  <c r="U238" i="19"/>
  <c r="U230" i="19"/>
  <c r="U223" i="19"/>
  <c r="U211" i="19"/>
  <c r="U203" i="19"/>
  <c r="U192" i="19"/>
  <c r="U188" i="19"/>
  <c r="U182" i="19"/>
  <c r="U168" i="19"/>
  <c r="U246" i="19"/>
  <c r="U232" i="19"/>
  <c r="U200" i="19"/>
  <c r="U183" i="19"/>
  <c r="W172" i="19"/>
  <c r="U169" i="19"/>
  <c r="U167" i="19"/>
  <c r="U161" i="19"/>
  <c r="U157" i="19"/>
  <c r="U149" i="19"/>
  <c r="U141" i="19"/>
  <c r="U137" i="19"/>
  <c r="U129" i="19"/>
  <c r="U125" i="19"/>
  <c r="W227" i="19"/>
  <c r="U212" i="19"/>
  <c r="U175" i="19"/>
  <c r="W168" i="19"/>
  <c r="U162" i="19"/>
  <c r="U158" i="19"/>
  <c r="U154" i="19"/>
  <c r="U146" i="19"/>
  <c r="U138" i="19"/>
  <c r="U134" i="19"/>
  <c r="U126" i="19"/>
  <c r="U219" i="19"/>
  <c r="U204" i="19"/>
  <c r="U191" i="19"/>
  <c r="U164" i="19"/>
  <c r="U159" i="19"/>
  <c r="U196" i="19"/>
  <c r="W192" i="19"/>
  <c r="U160" i="19"/>
  <c r="U155" i="19"/>
  <c r="U143" i="19"/>
  <c r="U139" i="19"/>
  <c r="U131" i="19"/>
  <c r="U127" i="19"/>
  <c r="U120" i="19"/>
  <c r="U112" i="19"/>
  <c r="U104" i="19"/>
  <c r="U98" i="19"/>
  <c r="U93" i="19"/>
  <c r="U83" i="19"/>
  <c r="G69" i="19"/>
  <c r="G65" i="19"/>
  <c r="G55" i="19"/>
  <c r="G51" i="19"/>
  <c r="G41" i="19"/>
  <c r="G37" i="19"/>
  <c r="G33" i="19"/>
  <c r="G23" i="19"/>
  <c r="G19" i="19"/>
  <c r="U156" i="19"/>
  <c r="U152" i="19"/>
  <c r="U147" i="19"/>
  <c r="U144" i="19"/>
  <c r="U135" i="19"/>
  <c r="U128" i="19"/>
  <c r="U124" i="19"/>
  <c r="U121" i="19"/>
  <c r="U117" i="19"/>
  <c r="U109" i="19"/>
  <c r="U105" i="19"/>
  <c r="U99" i="19"/>
  <c r="U94" i="19"/>
  <c r="U88" i="19"/>
  <c r="U84" i="19"/>
  <c r="G68" i="19"/>
  <c r="G54" i="19"/>
  <c r="G50" i="19"/>
  <c r="G43" i="19"/>
  <c r="G36" i="19"/>
  <c r="G32" i="19"/>
  <c r="G26" i="19"/>
  <c r="G18" i="19"/>
  <c r="U171" i="19"/>
  <c r="W153" i="19"/>
  <c r="U148" i="19"/>
  <c r="U136" i="19"/>
  <c r="U118" i="19"/>
  <c r="U114" i="19"/>
  <c r="U106" i="19"/>
  <c r="U95" i="19"/>
  <c r="U91" i="19"/>
  <c r="U85" i="19"/>
  <c r="W81" i="19"/>
  <c r="G67" i="19"/>
  <c r="G53" i="19"/>
  <c r="G49" i="19"/>
  <c r="G39" i="19"/>
  <c r="G35" i="19"/>
  <c r="G52" i="19"/>
  <c r="G66" i="19"/>
  <c r="W96" i="19"/>
  <c r="U107" i="19"/>
  <c r="U115" i="19"/>
  <c r="T119" i="19"/>
  <c r="W119" i="19"/>
  <c r="U189" i="19"/>
  <c r="U202" i="19"/>
  <c r="W126" i="19"/>
  <c r="S131" i="19"/>
  <c r="S143" i="19"/>
  <c r="W143" i="19"/>
  <c r="W155" i="19"/>
  <c r="T167" i="19"/>
  <c r="T131" i="19"/>
  <c r="T143" i="19"/>
  <c r="T155" i="19"/>
  <c r="T136" i="19"/>
  <c r="S136" i="19"/>
  <c r="T204" i="19"/>
  <c r="S204" i="19"/>
  <c r="W204" i="19"/>
  <c r="T183" i="19"/>
  <c r="W212" i="19"/>
  <c r="W237" i="19"/>
  <c r="T171" i="19"/>
  <c r="S183" i="19"/>
  <c r="T186" i="19"/>
  <c r="T189" i="19"/>
  <c r="W189" i="19"/>
  <c r="S200" i="19"/>
  <c r="T200" i="19"/>
  <c r="W202" i="19"/>
  <c r="W228" i="19"/>
  <c r="S240" i="19"/>
  <c r="T240" i="19"/>
  <c r="T246" i="19"/>
  <c r="S246" i="19"/>
  <c r="V246" i="19"/>
  <c r="T191" i="19"/>
  <c r="T226" i="19"/>
  <c r="S226" i="19"/>
  <c r="F230" i="19"/>
  <c r="V230" i="19"/>
  <c r="T228" i="19"/>
  <c r="T237" i="19"/>
  <c r="S105" i="18"/>
  <c r="T105" i="18"/>
  <c r="S204" i="18"/>
  <c r="T93" i="18"/>
  <c r="W113" i="18"/>
  <c r="T113" i="18"/>
  <c r="S135" i="18"/>
  <c r="S156" i="18"/>
  <c r="T157" i="18"/>
  <c r="W158" i="18"/>
  <c r="T114" i="18"/>
  <c r="T145" i="18"/>
  <c r="T138" i="18"/>
  <c r="S198" i="18"/>
  <c r="T198" i="18"/>
  <c r="T232" i="18"/>
  <c r="S232" i="18"/>
  <c r="V232" i="18"/>
  <c r="T123" i="18"/>
  <c r="S197" i="18"/>
  <c r="T197" i="18"/>
  <c r="V197" i="18"/>
  <c r="W197" i="18"/>
  <c r="S133" i="18"/>
  <c r="S213" i="18"/>
  <c r="T213" i="18"/>
  <c r="V213" i="18"/>
  <c r="S155" i="18"/>
  <c r="S157" i="18"/>
  <c r="S230" i="18"/>
  <c r="T230" i="18"/>
  <c r="U273" i="17"/>
  <c r="U271" i="17"/>
  <c r="U269" i="17"/>
  <c r="U267" i="17"/>
  <c r="U266" i="17"/>
  <c r="U265" i="17"/>
  <c r="U263" i="17"/>
  <c r="U261" i="17"/>
  <c r="S261" i="17"/>
  <c r="T261" i="17"/>
  <c r="U260" i="17"/>
  <c r="S260" i="17"/>
  <c r="T260" i="17"/>
  <c r="U256" i="17"/>
  <c r="U253" i="17"/>
  <c r="U251" i="17"/>
  <c r="U250" i="17"/>
  <c r="U249" i="17"/>
  <c r="U246" i="17"/>
  <c r="U243" i="17"/>
  <c r="U242" i="17"/>
  <c r="T242" i="17"/>
  <c r="U241" i="17"/>
  <c r="U240" i="17"/>
  <c r="U237" i="17"/>
  <c r="U235" i="17"/>
  <c r="F237" i="17"/>
  <c r="S237" i="17"/>
  <c r="U234" i="17"/>
  <c r="S234" i="17"/>
  <c r="U233" i="17"/>
  <c r="T233" i="17"/>
  <c r="U229" i="17"/>
  <c r="U227" i="17"/>
  <c r="U226" i="17"/>
  <c r="S226" i="17"/>
  <c r="U225" i="17"/>
  <c r="U224" i="17"/>
  <c r="S224" i="17"/>
  <c r="U223" i="17"/>
  <c r="S223" i="17"/>
  <c r="U220" i="17"/>
  <c r="U219" i="17"/>
  <c r="U218" i="17"/>
  <c r="U217" i="17"/>
  <c r="U215" i="17"/>
  <c r="S215" i="17"/>
  <c r="U214" i="17"/>
  <c r="U213" i="17"/>
  <c r="U212" i="17"/>
  <c r="U210" i="17"/>
  <c r="U209" i="17"/>
  <c r="U207" i="17"/>
  <c r="U206" i="17"/>
  <c r="S206" i="17"/>
  <c r="U202" i="17"/>
  <c r="S199" i="17"/>
  <c r="U198" i="17"/>
  <c r="U197" i="17"/>
  <c r="U196" i="17"/>
  <c r="F196" i="17"/>
  <c r="S196" i="17"/>
  <c r="U195" i="17"/>
  <c r="F195" i="17"/>
  <c r="U194" i="17"/>
  <c r="F194" i="17"/>
  <c r="G194" i="17"/>
  <c r="W194" i="17"/>
  <c r="U193" i="17"/>
  <c r="F193" i="17"/>
  <c r="U192" i="17"/>
  <c r="U189" i="17"/>
  <c r="U187" i="17"/>
  <c r="T187" i="17"/>
  <c r="U186" i="17"/>
  <c r="T186" i="17"/>
  <c r="U185" i="17"/>
  <c r="U184" i="17"/>
  <c r="U183" i="17"/>
  <c r="U182" i="17"/>
  <c r="U181" i="17"/>
  <c r="T181" i="17"/>
  <c r="U180" i="17"/>
  <c r="U179" i="17"/>
  <c r="S179" i="17"/>
  <c r="U178" i="17"/>
  <c r="T178" i="17"/>
  <c r="W177" i="17"/>
  <c r="U177" i="17"/>
  <c r="V177" i="17"/>
  <c r="T177" i="17"/>
  <c r="S177" i="17"/>
  <c r="U176" i="17"/>
  <c r="U175" i="17"/>
  <c r="U174" i="17"/>
  <c r="S174" i="17"/>
  <c r="U173" i="17"/>
  <c r="U172" i="17"/>
  <c r="U171" i="17"/>
  <c r="U170" i="17"/>
  <c r="U169" i="17"/>
  <c r="W169" i="17"/>
  <c r="U168" i="17"/>
  <c r="S168" i="17"/>
  <c r="U167" i="17"/>
  <c r="V167" i="17"/>
  <c r="U166" i="17"/>
  <c r="T166" i="17"/>
  <c r="U165" i="17"/>
  <c r="U164" i="17"/>
  <c r="U159" i="17"/>
  <c r="U158" i="17"/>
  <c r="S158" i="17"/>
  <c r="U157" i="17"/>
  <c r="U148" i="17"/>
  <c r="S148" i="17"/>
  <c r="T148" i="17"/>
  <c r="U147" i="17"/>
  <c r="U137" i="17"/>
  <c r="U136" i="17"/>
  <c r="U135" i="17"/>
  <c r="U134" i="17"/>
  <c r="U133" i="17"/>
  <c r="U132" i="17"/>
  <c r="S132" i="17"/>
  <c r="U131" i="17"/>
  <c r="W131" i="17"/>
  <c r="U130" i="17"/>
  <c r="S130" i="17"/>
  <c r="U129" i="17"/>
  <c r="S129" i="17"/>
  <c r="U128" i="17"/>
  <c r="T128" i="17"/>
  <c r="U127" i="17"/>
  <c r="U126" i="17"/>
  <c r="S126" i="17"/>
  <c r="U125" i="17"/>
  <c r="T125" i="17"/>
  <c r="U124" i="17"/>
  <c r="U123" i="17"/>
  <c r="S123" i="17"/>
  <c r="U122" i="17"/>
  <c r="W122" i="17"/>
  <c r="U121" i="17"/>
  <c r="U120" i="17"/>
  <c r="U119" i="17"/>
  <c r="S119" i="17"/>
  <c r="U118" i="17"/>
  <c r="W118" i="17"/>
  <c r="U117" i="17"/>
  <c r="S117" i="17"/>
  <c r="U116" i="17"/>
  <c r="S116" i="17"/>
  <c r="U115" i="17"/>
  <c r="U114" i="17"/>
  <c r="V114" i="17"/>
  <c r="U113" i="17"/>
  <c r="U112" i="17"/>
  <c r="W112" i="17"/>
  <c r="U111" i="17"/>
  <c r="T111" i="17"/>
  <c r="U110" i="17"/>
  <c r="T110" i="17"/>
  <c r="U109" i="17"/>
  <c r="U106" i="17"/>
  <c r="U104" i="17"/>
  <c r="U98" i="17"/>
  <c r="S98" i="17"/>
  <c r="U97" i="17"/>
  <c r="U94" i="17"/>
  <c r="U91" i="17"/>
  <c r="U88" i="17"/>
  <c r="T88" i="17"/>
  <c r="U87" i="17"/>
  <c r="T87" i="17"/>
  <c r="U86" i="17"/>
  <c r="V86" i="17"/>
  <c r="W86" i="17"/>
  <c r="U85" i="17"/>
  <c r="S85" i="17"/>
  <c r="U84" i="17"/>
  <c r="U83" i="17"/>
  <c r="S83" i="17"/>
  <c r="U81" i="17"/>
  <c r="V81" i="17"/>
  <c r="W81" i="17"/>
  <c r="F71" i="17"/>
  <c r="F57" i="17"/>
  <c r="F42" i="17"/>
  <c r="F28" i="17"/>
  <c r="V182" i="19"/>
  <c r="W182" i="19"/>
  <c r="V143" i="19"/>
  <c r="S88" i="17"/>
  <c r="W88" i="17"/>
  <c r="T196" i="17"/>
  <c r="F217" i="17"/>
  <c r="S217" i="17"/>
  <c r="V266" i="17"/>
  <c r="G195" i="17"/>
  <c r="W195" i="17"/>
  <c r="W210" i="17"/>
  <c r="S242" i="17"/>
  <c r="S263" i="17"/>
  <c r="S266" i="17"/>
  <c r="T266" i="17"/>
  <c r="S267" i="17"/>
  <c r="T267" i="17"/>
  <c r="G180" i="16"/>
  <c r="G179" i="16"/>
  <c r="G178" i="16"/>
  <c r="G165" i="16"/>
  <c r="G164" i="16"/>
  <c r="G163" i="16"/>
  <c r="G156" i="16"/>
  <c r="G155" i="16"/>
  <c r="G154" i="16"/>
  <c r="G153" i="16"/>
  <c r="G144" i="16"/>
  <c r="G143" i="16"/>
  <c r="G142" i="16"/>
  <c r="G141" i="16"/>
  <c r="G140" i="16"/>
  <c r="G148" i="16"/>
  <c r="G138" i="16"/>
  <c r="G135" i="16"/>
  <c r="G134" i="16"/>
  <c r="G146" i="16"/>
  <c r="G128" i="16"/>
  <c r="G127" i="16"/>
  <c r="G125" i="16"/>
  <c r="G124" i="16"/>
  <c r="G123" i="16"/>
  <c r="G122" i="16"/>
  <c r="G121" i="16"/>
  <c r="G120" i="16"/>
  <c r="G58" i="16"/>
  <c r="G57" i="16"/>
  <c r="G55" i="16"/>
  <c r="G52" i="16"/>
  <c r="G51" i="16"/>
  <c r="F49" i="16"/>
  <c r="G49" i="16"/>
  <c r="F39" i="16"/>
  <c r="G38" i="16"/>
  <c r="G37" i="16"/>
  <c r="G39" i="16"/>
  <c r="F33" i="16"/>
  <c r="G32" i="16"/>
  <c r="G31" i="16"/>
  <c r="G27" i="16"/>
  <c r="F26" i="16"/>
  <c r="G25" i="16"/>
  <c r="G24" i="16"/>
  <c r="G26" i="16"/>
  <c r="F20" i="16"/>
  <c r="F41" i="16"/>
  <c r="G19" i="16"/>
  <c r="G18" i="16"/>
  <c r="G137" i="16"/>
  <c r="U208" i="15"/>
  <c r="U206" i="15"/>
  <c r="U204" i="15"/>
  <c r="U202" i="15"/>
  <c r="S202" i="15"/>
  <c r="U201" i="15"/>
  <c r="U200" i="15"/>
  <c r="U197" i="15"/>
  <c r="U196" i="15"/>
  <c r="S196" i="15"/>
  <c r="U194" i="15"/>
  <c r="U190" i="15"/>
  <c r="U188" i="15"/>
  <c r="U186" i="15"/>
  <c r="T186" i="15"/>
  <c r="U185" i="15"/>
  <c r="W185" i="15"/>
  <c r="U184" i="15"/>
  <c r="V184" i="15"/>
  <c r="W184" i="15"/>
  <c r="U181" i="15"/>
  <c r="U179" i="15"/>
  <c r="V179" i="15"/>
  <c r="W179" i="15"/>
  <c r="U178" i="15"/>
  <c r="S178" i="15"/>
  <c r="U177" i="15"/>
  <c r="U176" i="15"/>
  <c r="U173" i="15"/>
  <c r="U171" i="15"/>
  <c r="S171" i="15"/>
  <c r="T171" i="15"/>
  <c r="U170" i="15"/>
  <c r="V170" i="15"/>
  <c r="W170" i="15"/>
  <c r="U169" i="15"/>
  <c r="S169" i="15"/>
  <c r="T169" i="15"/>
  <c r="U168" i="15"/>
  <c r="U164" i="15"/>
  <c r="U162" i="15"/>
  <c r="T162" i="15"/>
  <c r="U161" i="15"/>
  <c r="S161" i="15"/>
  <c r="U160" i="15"/>
  <c r="S160" i="15"/>
  <c r="U159" i="15"/>
  <c r="U158" i="15"/>
  <c r="U155" i="15"/>
  <c r="U154" i="15"/>
  <c r="U153" i="15"/>
  <c r="G153" i="15"/>
  <c r="V153" i="15"/>
  <c r="W153" i="15"/>
  <c r="U152" i="15"/>
  <c r="U150" i="15"/>
  <c r="U149" i="15"/>
  <c r="V149" i="15"/>
  <c r="S149" i="15"/>
  <c r="U148" i="15"/>
  <c r="V148" i="15"/>
  <c r="W148" i="15"/>
  <c r="U147" i="15"/>
  <c r="V147" i="15"/>
  <c r="W147" i="15"/>
  <c r="U146" i="15"/>
  <c r="U144" i="15"/>
  <c r="S144" i="15"/>
  <c r="T144" i="15"/>
  <c r="U143" i="15"/>
  <c r="V143" i="15"/>
  <c r="W143" i="15"/>
  <c r="S143" i="15"/>
  <c r="U141" i="15"/>
  <c r="U140" i="15"/>
  <c r="U136" i="15"/>
  <c r="U134" i="15"/>
  <c r="S134" i="15"/>
  <c r="T134" i="15"/>
  <c r="U133" i="15"/>
  <c r="S133" i="15"/>
  <c r="T133" i="15"/>
  <c r="U130" i="15"/>
  <c r="S130" i="15"/>
  <c r="U129" i="15"/>
  <c r="T129" i="15"/>
  <c r="U128" i="15"/>
  <c r="U127" i="15"/>
  <c r="S127" i="15"/>
  <c r="U126" i="15"/>
  <c r="S126" i="15"/>
  <c r="U125" i="15"/>
  <c r="W125" i="15"/>
  <c r="U122" i="15"/>
  <c r="W120" i="15"/>
  <c r="U120" i="15"/>
  <c r="V120" i="15"/>
  <c r="T120" i="15"/>
  <c r="S120" i="15"/>
  <c r="W119" i="15"/>
  <c r="U119" i="15"/>
  <c r="V119" i="15"/>
  <c r="T119" i="15"/>
  <c r="S119" i="15"/>
  <c r="W118" i="15"/>
  <c r="U118" i="15"/>
  <c r="V118" i="15"/>
  <c r="T118" i="15"/>
  <c r="S118" i="15"/>
  <c r="U117" i="15"/>
  <c r="V117" i="15"/>
  <c r="W117" i="15"/>
  <c r="U116" i="15"/>
  <c r="U115" i="15"/>
  <c r="W114" i="15"/>
  <c r="U114" i="15"/>
  <c r="V114" i="15"/>
  <c r="T114" i="15"/>
  <c r="S114" i="15"/>
  <c r="W113" i="15"/>
  <c r="U113" i="15"/>
  <c r="V113" i="15"/>
  <c r="T113" i="15"/>
  <c r="S113" i="15"/>
  <c r="U112" i="15"/>
  <c r="U111" i="15"/>
  <c r="V111" i="15"/>
  <c r="U110" i="15"/>
  <c r="W109" i="15"/>
  <c r="U109" i="15"/>
  <c r="V109" i="15"/>
  <c r="T109" i="15"/>
  <c r="S109" i="15"/>
  <c r="U108" i="15"/>
  <c r="F107" i="15"/>
  <c r="S107" i="15"/>
  <c r="U107" i="15"/>
  <c r="U106" i="15"/>
  <c r="T106" i="15"/>
  <c r="U105" i="15"/>
  <c r="U104" i="15"/>
  <c r="V104" i="15"/>
  <c r="U103" i="15"/>
  <c r="U102" i="15"/>
  <c r="U101" i="15"/>
  <c r="U98" i="15"/>
  <c r="V98" i="15"/>
  <c r="W98" i="15"/>
  <c r="S98" i="15"/>
  <c r="T98" i="15"/>
  <c r="U97" i="15"/>
  <c r="U96" i="15"/>
  <c r="U94" i="15"/>
  <c r="V94" i="15"/>
  <c r="W94" i="15"/>
  <c r="U92" i="15"/>
  <c r="V92" i="15"/>
  <c r="W92" i="15"/>
  <c r="S92" i="15"/>
  <c r="T92" i="15"/>
  <c r="U91" i="15"/>
  <c r="V91" i="15"/>
  <c r="W91" i="15"/>
  <c r="U90" i="15"/>
  <c r="V90" i="15"/>
  <c r="W90" i="15"/>
  <c r="S90" i="15"/>
  <c r="T90" i="15"/>
  <c r="U89" i="15"/>
  <c r="V89" i="15"/>
  <c r="W89" i="15"/>
  <c r="U88" i="15"/>
  <c r="V88" i="15"/>
  <c r="W88" i="15"/>
  <c r="S88" i="15"/>
  <c r="T88" i="15"/>
  <c r="U85" i="15"/>
  <c r="F85" i="15"/>
  <c r="T85" i="15"/>
  <c r="U84" i="15"/>
  <c r="F84" i="15"/>
  <c r="S84" i="15"/>
  <c r="U83" i="15"/>
  <c r="F83" i="15"/>
  <c r="S83" i="15"/>
  <c r="U81" i="15"/>
  <c r="G81" i="15"/>
  <c r="V81" i="15"/>
  <c r="T81" i="15"/>
  <c r="S81" i="15"/>
  <c r="F71" i="15"/>
  <c r="G70" i="15"/>
  <c r="G69" i="15"/>
  <c r="G68" i="15"/>
  <c r="G67" i="15"/>
  <c r="G66" i="15"/>
  <c r="G65" i="15"/>
  <c r="G64" i="15"/>
  <c r="G63" i="15"/>
  <c r="G62" i="15"/>
  <c r="G61" i="15"/>
  <c r="F57" i="15"/>
  <c r="G56" i="15"/>
  <c r="G55" i="15"/>
  <c r="G54" i="15"/>
  <c r="G53" i="15"/>
  <c r="G52" i="15"/>
  <c r="G51" i="15"/>
  <c r="G50" i="15"/>
  <c r="G49" i="15"/>
  <c r="G48" i="15"/>
  <c r="G47" i="15"/>
  <c r="G57" i="15"/>
  <c r="G43" i="15"/>
  <c r="F42" i="15"/>
  <c r="G41" i="15"/>
  <c r="G40" i="15"/>
  <c r="G39" i="15"/>
  <c r="G38" i="15"/>
  <c r="G37" i="15"/>
  <c r="G36" i="15"/>
  <c r="G35" i="15"/>
  <c r="G34" i="15"/>
  <c r="G33" i="15"/>
  <c r="G32" i="15"/>
  <c r="F28" i="15"/>
  <c r="G27" i="15"/>
  <c r="G26" i="15"/>
  <c r="G25" i="15"/>
  <c r="G24" i="15"/>
  <c r="G23" i="15"/>
  <c r="G22" i="15"/>
  <c r="G21" i="15"/>
  <c r="G20" i="15"/>
  <c r="G19" i="15"/>
  <c r="G18" i="15"/>
  <c r="S253" i="14"/>
  <c r="S252" i="14"/>
  <c r="S251" i="14"/>
  <c r="S249" i="14"/>
  <c r="S247" i="14"/>
  <c r="S231" i="14"/>
  <c r="S230" i="14"/>
  <c r="S224" i="14"/>
  <c r="S223" i="14"/>
  <c r="T223" i="14"/>
  <c r="S222" i="14"/>
  <c r="T222" i="14"/>
  <c r="S220" i="14"/>
  <c r="T214" i="14"/>
  <c r="T213" i="14"/>
  <c r="T212" i="14"/>
  <c r="S206" i="14"/>
  <c r="T206" i="14"/>
  <c r="S204" i="14"/>
  <c r="T204" i="14"/>
  <c r="S202" i="14"/>
  <c r="F194" i="14"/>
  <c r="T194" i="14"/>
  <c r="S187" i="14"/>
  <c r="T187" i="14"/>
  <c r="S178" i="14"/>
  <c r="S176" i="14"/>
  <c r="T176" i="14"/>
  <c r="T173" i="14"/>
  <c r="S172" i="14"/>
  <c r="T169" i="14"/>
  <c r="S168" i="14"/>
  <c r="T162" i="14"/>
  <c r="S160" i="14"/>
  <c r="S159" i="14"/>
  <c r="S153" i="14"/>
  <c r="S150" i="14"/>
  <c r="T149" i="14"/>
  <c r="T148" i="14"/>
  <c r="S147" i="14"/>
  <c r="F143" i="14"/>
  <c r="S143" i="14"/>
  <c r="S140" i="14"/>
  <c r="S135" i="14"/>
  <c r="S134" i="14"/>
  <c r="S131" i="14"/>
  <c r="T131" i="14"/>
  <c r="S125" i="14"/>
  <c r="T124" i="14"/>
  <c r="S123" i="14"/>
  <c r="S121" i="14"/>
  <c r="W119" i="14"/>
  <c r="T119" i="14"/>
  <c r="S119" i="14"/>
  <c r="S118" i="14"/>
  <c r="T118" i="14"/>
  <c r="W116" i="14"/>
  <c r="T116" i="14"/>
  <c r="S116" i="14"/>
  <c r="W110" i="14"/>
  <c r="T110" i="14"/>
  <c r="S110" i="14"/>
  <c r="S108" i="14"/>
  <c r="S107" i="14"/>
  <c r="S94" i="14"/>
  <c r="S91" i="14"/>
  <c r="F88" i="14"/>
  <c r="S88" i="14"/>
  <c r="F87" i="14"/>
  <c r="T87" i="14"/>
  <c r="F86" i="14"/>
  <c r="F85" i="14"/>
  <c r="T85" i="14"/>
  <c r="F84" i="14"/>
  <c r="G84" i="14"/>
  <c r="W84" i="14"/>
  <c r="F83" i="14"/>
  <c r="T81" i="14"/>
  <c r="S81" i="14"/>
  <c r="F71" i="14"/>
  <c r="F57" i="14"/>
  <c r="F42" i="14"/>
  <c r="F28" i="14"/>
  <c r="U220" i="14"/>
  <c r="U247" i="13"/>
  <c r="U245" i="13"/>
  <c r="U243" i="13"/>
  <c r="U241" i="13"/>
  <c r="U240" i="13"/>
  <c r="U239" i="13"/>
  <c r="S239" i="13"/>
  <c r="U237" i="13"/>
  <c r="U234" i="13"/>
  <c r="U232" i="13"/>
  <c r="U228" i="13"/>
  <c r="U226" i="13"/>
  <c r="U224" i="13"/>
  <c r="G224" i="13"/>
  <c r="U223" i="13"/>
  <c r="U222" i="13"/>
  <c r="T222" i="13"/>
  <c r="U219" i="13"/>
  <c r="U216" i="13"/>
  <c r="U215" i="13"/>
  <c r="U214" i="13"/>
  <c r="U213" i="13"/>
  <c r="U210" i="13"/>
  <c r="U208" i="13"/>
  <c r="T208" i="13"/>
  <c r="U207" i="13"/>
  <c r="T207" i="13"/>
  <c r="U206" i="13"/>
  <c r="T206" i="13"/>
  <c r="U205" i="13"/>
  <c r="U201" i="13"/>
  <c r="U199" i="13"/>
  <c r="U198" i="13"/>
  <c r="S198" i="13"/>
  <c r="U197" i="13"/>
  <c r="U196" i="13"/>
  <c r="S196" i="13"/>
  <c r="T196" i="13"/>
  <c r="U195" i="13"/>
  <c r="S195" i="13"/>
  <c r="U192" i="13"/>
  <c r="U191" i="13"/>
  <c r="U190" i="13"/>
  <c r="U189" i="13"/>
  <c r="U187" i="13"/>
  <c r="T187" i="13"/>
  <c r="U186" i="13"/>
  <c r="S186" i="13"/>
  <c r="T186" i="13"/>
  <c r="U185" i="13"/>
  <c r="T185" i="13"/>
  <c r="U184" i="13"/>
  <c r="G184" i="13"/>
  <c r="U183" i="13"/>
  <c r="G183" i="13"/>
  <c r="U181" i="13"/>
  <c r="S181" i="13"/>
  <c r="U180" i="13"/>
  <c r="T180" i="13"/>
  <c r="U178" i="13"/>
  <c r="U177" i="13"/>
  <c r="T177" i="13"/>
  <c r="U173" i="13"/>
  <c r="U171" i="13"/>
  <c r="G171" i="13"/>
  <c r="U170" i="13"/>
  <c r="U169" i="13"/>
  <c r="U168" i="13"/>
  <c r="S168" i="13"/>
  <c r="U167" i="13"/>
  <c r="U166" i="13"/>
  <c r="U165" i="13"/>
  <c r="U164" i="13"/>
  <c r="U161" i="13"/>
  <c r="U159" i="13"/>
  <c r="S159" i="13"/>
  <c r="U158" i="13"/>
  <c r="U157" i="13"/>
  <c r="T157" i="13"/>
  <c r="U156" i="13"/>
  <c r="U155" i="13"/>
  <c r="T155" i="13"/>
  <c r="U154" i="13"/>
  <c r="U153" i="13"/>
  <c r="S153" i="13"/>
  <c r="U152" i="13"/>
  <c r="S152" i="13"/>
  <c r="U151" i="13"/>
  <c r="S151" i="13"/>
  <c r="U150" i="13"/>
  <c r="T150" i="13"/>
  <c r="U149" i="13"/>
  <c r="S149" i="13"/>
  <c r="U148" i="13"/>
  <c r="U147" i="13"/>
  <c r="T147" i="13"/>
  <c r="U146" i="13"/>
  <c r="U145" i="13"/>
  <c r="U144" i="13"/>
  <c r="T144" i="13"/>
  <c r="U143" i="13"/>
  <c r="U142" i="13"/>
  <c r="U141" i="13"/>
  <c r="U140" i="13"/>
  <c r="U139" i="13"/>
  <c r="U138" i="13"/>
  <c r="U137" i="13"/>
  <c r="U136" i="13"/>
  <c r="U135" i="13"/>
  <c r="T135" i="13"/>
  <c r="U134" i="13"/>
  <c r="T134" i="13"/>
  <c r="U133" i="13"/>
  <c r="U132" i="13"/>
  <c r="S132" i="13"/>
  <c r="U131" i="13"/>
  <c r="V131" i="13"/>
  <c r="W131" i="13"/>
  <c r="S131" i="13"/>
  <c r="U130" i="13"/>
  <c r="U129" i="13"/>
  <c r="U128" i="13"/>
  <c r="W128" i="13"/>
  <c r="U127" i="13"/>
  <c r="T127" i="13"/>
  <c r="U126" i="13"/>
  <c r="T126" i="13"/>
  <c r="U125" i="13"/>
  <c r="U124" i="13"/>
  <c r="U123" i="13"/>
  <c r="U122" i="13"/>
  <c r="V122" i="13"/>
  <c r="U121" i="13"/>
  <c r="U120" i="13"/>
  <c r="U119" i="13"/>
  <c r="U118" i="13"/>
  <c r="U117" i="13"/>
  <c r="U116" i="13"/>
  <c r="U115" i="13"/>
  <c r="U114" i="13"/>
  <c r="U113" i="13"/>
  <c r="U112" i="13"/>
  <c r="U111" i="13"/>
  <c r="T111" i="13"/>
  <c r="U110" i="13"/>
  <c r="U109" i="13"/>
  <c r="T109" i="13"/>
  <c r="U108" i="13"/>
  <c r="T108" i="13"/>
  <c r="U107" i="13"/>
  <c r="U106" i="13"/>
  <c r="U105" i="13"/>
  <c r="S105" i="13"/>
  <c r="U104" i="13"/>
  <c r="V104" i="13"/>
  <c r="U103" i="13"/>
  <c r="U102" i="13"/>
  <c r="U101" i="13"/>
  <c r="W101" i="13"/>
  <c r="U100" i="13"/>
  <c r="U97" i="13"/>
  <c r="U96" i="13"/>
  <c r="S96" i="13"/>
  <c r="U95" i="13"/>
  <c r="T95" i="13"/>
  <c r="U94" i="13"/>
  <c r="S94" i="13"/>
  <c r="U93" i="13"/>
  <c r="U92" i="13"/>
  <c r="S92" i="13"/>
  <c r="U91" i="13"/>
  <c r="S91" i="13"/>
  <c r="U88" i="13"/>
  <c r="S88" i="13"/>
  <c r="U87" i="13"/>
  <c r="S87" i="13"/>
  <c r="U86" i="13"/>
  <c r="S86" i="13"/>
  <c r="U85" i="13"/>
  <c r="G85" i="13"/>
  <c r="W85" i="13"/>
  <c r="U84" i="13"/>
  <c r="G84" i="13"/>
  <c r="W84" i="13"/>
  <c r="U83" i="13"/>
  <c r="S83" i="13"/>
  <c r="U81" i="13"/>
  <c r="S81" i="13"/>
  <c r="T81" i="13"/>
  <c r="G81" i="13"/>
  <c r="F71" i="13"/>
  <c r="G70" i="13"/>
  <c r="G69" i="13"/>
  <c r="G68" i="13"/>
  <c r="G67" i="13"/>
  <c r="G66" i="13"/>
  <c r="G65" i="13"/>
  <c r="G64" i="13"/>
  <c r="G63" i="13"/>
  <c r="G62" i="13"/>
  <c r="G61" i="13"/>
  <c r="F57" i="13"/>
  <c r="G56" i="13"/>
  <c r="G55" i="13"/>
  <c r="G54" i="13"/>
  <c r="G53" i="13"/>
  <c r="G52" i="13"/>
  <c r="G51" i="13"/>
  <c r="G50" i="13"/>
  <c r="G49" i="13"/>
  <c r="G48" i="13"/>
  <c r="G47" i="13"/>
  <c r="G43" i="13"/>
  <c r="F42" i="13"/>
  <c r="G41" i="13"/>
  <c r="G40" i="13"/>
  <c r="G39" i="13"/>
  <c r="G38" i="13"/>
  <c r="G37" i="13"/>
  <c r="G36" i="13"/>
  <c r="G35" i="13"/>
  <c r="G34" i="13"/>
  <c r="G33" i="13"/>
  <c r="G32" i="13"/>
  <c r="F28" i="13"/>
  <c r="G27" i="13"/>
  <c r="G26" i="13"/>
  <c r="G25" i="13"/>
  <c r="G24" i="13"/>
  <c r="G23" i="13"/>
  <c r="G22" i="13"/>
  <c r="G21" i="13"/>
  <c r="G18" i="13"/>
  <c r="G19" i="13"/>
  <c r="G20" i="13"/>
  <c r="G28" i="13"/>
  <c r="U250" i="12"/>
  <c r="U248" i="12"/>
  <c r="S248" i="12"/>
  <c r="T248" i="12"/>
  <c r="U246" i="12"/>
  <c r="U244" i="12"/>
  <c r="U243" i="12"/>
  <c r="U242" i="12"/>
  <c r="U240" i="12"/>
  <c r="U235" i="12"/>
  <c r="U236" i="12"/>
  <c r="U234" i="12"/>
  <c r="V234" i="12"/>
  <c r="W234" i="12"/>
  <c r="U230" i="12"/>
  <c r="U228" i="12"/>
  <c r="U226" i="12"/>
  <c r="T226" i="12"/>
  <c r="U225" i="12"/>
  <c r="G225" i="12"/>
  <c r="V225" i="12"/>
  <c r="U224" i="12"/>
  <c r="U221" i="12"/>
  <c r="U219" i="12"/>
  <c r="S219" i="12"/>
  <c r="T219" i="12"/>
  <c r="U218" i="12"/>
  <c r="S218" i="12"/>
  <c r="U217" i="12"/>
  <c r="U216" i="12"/>
  <c r="U213" i="12"/>
  <c r="U211" i="12"/>
  <c r="S211" i="12"/>
  <c r="U210" i="12"/>
  <c r="T210" i="12"/>
  <c r="U209" i="12"/>
  <c r="S209" i="12"/>
  <c r="U208" i="12"/>
  <c r="U204" i="12"/>
  <c r="U202" i="12"/>
  <c r="T202" i="12"/>
  <c r="U201" i="12"/>
  <c r="G201" i="12"/>
  <c r="W201" i="12"/>
  <c r="U200" i="12"/>
  <c r="G200" i="12"/>
  <c r="U199" i="12"/>
  <c r="G199" i="12"/>
  <c r="U198" i="12"/>
  <c r="G198" i="12"/>
  <c r="V198" i="12"/>
  <c r="U195" i="12"/>
  <c r="U194" i="12"/>
  <c r="U193" i="12"/>
  <c r="U192" i="12"/>
  <c r="U190" i="12"/>
  <c r="T190" i="12"/>
  <c r="U189" i="12"/>
  <c r="S189" i="12"/>
  <c r="U188" i="12"/>
  <c r="U187" i="12"/>
  <c r="G187" i="12"/>
  <c r="V187" i="12"/>
  <c r="U186" i="12"/>
  <c r="U184" i="12"/>
  <c r="S184" i="12"/>
  <c r="U183" i="12"/>
  <c r="G183" i="12"/>
  <c r="U181" i="12"/>
  <c r="U180" i="12"/>
  <c r="U176" i="12"/>
  <c r="U174" i="12"/>
  <c r="G174" i="12"/>
  <c r="U173" i="12"/>
  <c r="S173" i="12"/>
  <c r="T173" i="12"/>
  <c r="U172" i="12"/>
  <c r="U171" i="12"/>
  <c r="G171" i="12"/>
  <c r="W171" i="12"/>
  <c r="U170" i="12"/>
  <c r="U169" i="12"/>
  <c r="G169" i="12"/>
  <c r="U168" i="12"/>
  <c r="G168" i="12"/>
  <c r="U167" i="12"/>
  <c r="S167" i="12"/>
  <c r="U164" i="12"/>
  <c r="U162" i="12"/>
  <c r="G162" i="12"/>
  <c r="U161" i="12"/>
  <c r="G161" i="12"/>
  <c r="U160" i="12"/>
  <c r="S160" i="12"/>
  <c r="U159" i="12"/>
  <c r="S159" i="12"/>
  <c r="U158" i="12"/>
  <c r="G158" i="12"/>
  <c r="W158" i="12"/>
  <c r="U157" i="12"/>
  <c r="U156" i="12"/>
  <c r="S156" i="12"/>
  <c r="U155" i="12"/>
  <c r="S155" i="12"/>
  <c r="U154" i="12"/>
  <c r="G154" i="12"/>
  <c r="U153" i="12"/>
  <c r="U152" i="12"/>
  <c r="G152" i="12"/>
  <c r="U151" i="12"/>
  <c r="U150" i="12"/>
  <c r="S150" i="12"/>
  <c r="U149" i="12"/>
  <c r="T149" i="12"/>
  <c r="U148" i="12"/>
  <c r="T148" i="12"/>
  <c r="U147" i="12"/>
  <c r="T147" i="12"/>
  <c r="U146" i="12"/>
  <c r="W146" i="12"/>
  <c r="U145" i="12"/>
  <c r="U144" i="12"/>
  <c r="U143" i="12"/>
  <c r="T143" i="12"/>
  <c r="U142" i="12"/>
  <c r="U141" i="12"/>
  <c r="V141" i="12"/>
  <c r="W141" i="12"/>
  <c r="U140" i="12"/>
  <c r="U139" i="12"/>
  <c r="U138" i="12"/>
  <c r="U137" i="12"/>
  <c r="U136" i="12"/>
  <c r="U135" i="12"/>
  <c r="U134" i="12"/>
  <c r="U133" i="12"/>
  <c r="U132" i="12"/>
  <c r="T132" i="12"/>
  <c r="U131" i="12"/>
  <c r="T131" i="12"/>
  <c r="U130" i="12"/>
  <c r="S130" i="12"/>
  <c r="U129" i="12"/>
  <c r="T129" i="12"/>
  <c r="U128" i="12"/>
  <c r="S128" i="12"/>
  <c r="U127" i="12"/>
  <c r="U126" i="12"/>
  <c r="T126" i="12"/>
  <c r="U125" i="12"/>
  <c r="U124" i="12"/>
  <c r="U123" i="12"/>
  <c r="S123" i="12"/>
  <c r="U122" i="12"/>
  <c r="U121" i="12"/>
  <c r="U120" i="12"/>
  <c r="U119" i="12"/>
  <c r="S119" i="12"/>
  <c r="U118" i="12"/>
  <c r="U117" i="12"/>
  <c r="U116" i="12"/>
  <c r="U115" i="12"/>
  <c r="U114" i="12"/>
  <c r="T114" i="12"/>
  <c r="U113" i="12"/>
  <c r="U112" i="12"/>
  <c r="T112" i="12"/>
  <c r="U111" i="12"/>
  <c r="U110" i="12"/>
  <c r="W110" i="12"/>
  <c r="U109" i="12"/>
  <c r="U108" i="12"/>
  <c r="T108" i="12"/>
  <c r="U107" i="12"/>
  <c r="S107" i="12"/>
  <c r="U106" i="12"/>
  <c r="U105" i="12"/>
  <c r="U104" i="12"/>
  <c r="T104" i="12"/>
  <c r="U103" i="12"/>
  <c r="U100" i="12"/>
  <c r="U99" i="12"/>
  <c r="S99" i="12"/>
  <c r="U98" i="12"/>
  <c r="G97" i="12"/>
  <c r="G96" i="12"/>
  <c r="G95" i="12"/>
  <c r="U94" i="12"/>
  <c r="U93" i="12"/>
  <c r="G93" i="12"/>
  <c r="U92" i="12"/>
  <c r="U91" i="12"/>
  <c r="G91" i="12"/>
  <c r="V91" i="12"/>
  <c r="W91" i="12"/>
  <c r="U88" i="12"/>
  <c r="U87" i="12"/>
  <c r="G87" i="12"/>
  <c r="W87" i="12"/>
  <c r="U86" i="12"/>
  <c r="G86" i="12"/>
  <c r="U85" i="12"/>
  <c r="G85" i="12"/>
  <c r="W85" i="12"/>
  <c r="U84" i="12"/>
  <c r="G84" i="12"/>
  <c r="U83" i="12"/>
  <c r="U81" i="12"/>
  <c r="T81" i="12"/>
  <c r="S81" i="12"/>
  <c r="G81" i="12"/>
  <c r="V81" i="12"/>
  <c r="F71" i="12"/>
  <c r="G70" i="12"/>
  <c r="G69" i="12"/>
  <c r="G68" i="12"/>
  <c r="G67" i="12"/>
  <c r="G66" i="12"/>
  <c r="G65" i="12"/>
  <c r="G64" i="12"/>
  <c r="G63" i="12"/>
  <c r="G62" i="12"/>
  <c r="G61" i="12"/>
  <c r="F57" i="12"/>
  <c r="G56" i="12"/>
  <c r="G55" i="12"/>
  <c r="G54" i="12"/>
  <c r="G53" i="12"/>
  <c r="G52" i="12"/>
  <c r="G51" i="12"/>
  <c r="G50" i="12"/>
  <c r="G49" i="12"/>
  <c r="G48" i="12"/>
  <c r="G47" i="12"/>
  <c r="G43" i="12"/>
  <c r="F42" i="12"/>
  <c r="G41" i="12"/>
  <c r="G40" i="12"/>
  <c r="G39" i="12"/>
  <c r="G38" i="12"/>
  <c r="G37" i="12"/>
  <c r="G36" i="12"/>
  <c r="G35" i="12"/>
  <c r="G34" i="12"/>
  <c r="G33" i="12"/>
  <c r="G32" i="12"/>
  <c r="F28" i="12"/>
  <c r="G27" i="12"/>
  <c r="G26" i="12"/>
  <c r="G25" i="12"/>
  <c r="G24" i="12"/>
  <c r="G23" i="12"/>
  <c r="G22" i="12"/>
  <c r="G21" i="12"/>
  <c r="G20" i="12"/>
  <c r="G19" i="12"/>
  <c r="G18" i="12"/>
  <c r="W251" i="11"/>
  <c r="T251" i="11"/>
  <c r="S251" i="11"/>
  <c r="T250" i="11"/>
  <c r="S250" i="11"/>
  <c r="W249" i="11"/>
  <c r="T249" i="11"/>
  <c r="S249" i="11"/>
  <c r="W247" i="11"/>
  <c r="T247" i="11"/>
  <c r="S247" i="11"/>
  <c r="W246" i="11"/>
  <c r="T246" i="11"/>
  <c r="S246" i="11"/>
  <c r="F245" i="11"/>
  <c r="S245" i="11"/>
  <c r="T245" i="11"/>
  <c r="F243" i="11"/>
  <c r="F242" i="11"/>
  <c r="S242" i="11"/>
  <c r="T242" i="11"/>
  <c r="F241" i="11"/>
  <c r="F233" i="11"/>
  <c r="S233" i="11"/>
  <c r="F232" i="11"/>
  <c r="S232" i="11"/>
  <c r="F231" i="11"/>
  <c r="S231" i="11"/>
  <c r="T226" i="11"/>
  <c r="W220" i="11"/>
  <c r="W218" i="11"/>
  <c r="F218" i="11"/>
  <c r="T218" i="11"/>
  <c r="F217" i="11"/>
  <c r="F216" i="11"/>
  <c r="S216" i="11"/>
  <c r="F215" i="11"/>
  <c r="T215" i="11"/>
  <c r="W209" i="11"/>
  <c r="F209" i="11"/>
  <c r="F208" i="11"/>
  <c r="T208" i="11"/>
  <c r="F207" i="11"/>
  <c r="S207" i="11"/>
  <c r="W206" i="11"/>
  <c r="T206" i="11"/>
  <c r="S206" i="11"/>
  <c r="W205" i="11"/>
  <c r="T205" i="11"/>
  <c r="S205" i="11"/>
  <c r="F197" i="11"/>
  <c r="S197" i="11"/>
  <c r="W196" i="11"/>
  <c r="F196" i="11"/>
  <c r="F195" i="11"/>
  <c r="F194" i="11"/>
  <c r="F193" i="11"/>
  <c r="S193" i="11"/>
  <c r="F191" i="11"/>
  <c r="T191" i="11"/>
  <c r="F190" i="11"/>
  <c r="T190" i="11"/>
  <c r="F188" i="11"/>
  <c r="F187" i="11"/>
  <c r="F181" i="11"/>
  <c r="F180" i="11"/>
  <c r="F179" i="11"/>
  <c r="T177" i="11"/>
  <c r="T176" i="11"/>
  <c r="S174" i="11"/>
  <c r="S172" i="11"/>
  <c r="F167" i="11"/>
  <c r="S167" i="11"/>
  <c r="F166" i="11"/>
  <c r="T166" i="11"/>
  <c r="F165" i="11"/>
  <c r="T165" i="11"/>
  <c r="F164" i="11"/>
  <c r="F163" i="11"/>
  <c r="S163" i="11"/>
  <c r="F161" i="11"/>
  <c r="T161" i="11"/>
  <c r="F160" i="11"/>
  <c r="F159" i="11"/>
  <c r="T159" i="11"/>
  <c r="F158" i="11"/>
  <c r="T158" i="11"/>
  <c r="F157" i="11"/>
  <c r="T157" i="11"/>
  <c r="F155" i="11"/>
  <c r="S155" i="11"/>
  <c r="F154" i="11"/>
  <c r="S154" i="11"/>
  <c r="F153" i="11"/>
  <c r="F152" i="11"/>
  <c r="T152" i="11"/>
  <c r="F151" i="11"/>
  <c r="S151" i="11"/>
  <c r="W150" i="11"/>
  <c r="T150" i="11"/>
  <c r="S150" i="11"/>
  <c r="F149" i="11"/>
  <c r="G149" i="11"/>
  <c r="W148" i="11"/>
  <c r="F148" i="11"/>
  <c r="S148" i="11"/>
  <c r="F147" i="11"/>
  <c r="F146" i="11"/>
  <c r="T146" i="11"/>
  <c r="F145" i="11"/>
  <c r="G145" i="11"/>
  <c r="F144" i="11"/>
  <c r="T142" i="11"/>
  <c r="T141" i="11"/>
  <c r="T140" i="11"/>
  <c r="S139" i="11"/>
  <c r="S138" i="11"/>
  <c r="F136" i="11"/>
  <c r="T136" i="11"/>
  <c r="F135" i="11"/>
  <c r="S135" i="11"/>
  <c r="F134" i="11"/>
  <c r="F133" i="11"/>
  <c r="S133" i="11"/>
  <c r="T133" i="11"/>
  <c r="F132" i="11"/>
  <c r="S130" i="11"/>
  <c r="T129" i="11"/>
  <c r="T128" i="11"/>
  <c r="S127" i="11"/>
  <c r="S126" i="11"/>
  <c r="T123" i="11"/>
  <c r="T122" i="11"/>
  <c r="T121" i="11"/>
  <c r="F120" i="11"/>
  <c r="S120" i="11"/>
  <c r="S117" i="11"/>
  <c r="T116" i="11"/>
  <c r="S115" i="11"/>
  <c r="T115" i="11"/>
  <c r="S114" i="11"/>
  <c r="F112" i="11"/>
  <c r="T112" i="11"/>
  <c r="F111" i="11"/>
  <c r="S111" i="11"/>
  <c r="F110" i="11"/>
  <c r="T110" i="11"/>
  <c r="F109" i="11"/>
  <c r="T109" i="11"/>
  <c r="S108" i="11"/>
  <c r="T108" i="11"/>
  <c r="E108" i="11"/>
  <c r="S107" i="11"/>
  <c r="T107" i="11"/>
  <c r="W100" i="11"/>
  <c r="T100" i="11"/>
  <c r="S100" i="11"/>
  <c r="W98" i="11"/>
  <c r="T98" i="11"/>
  <c r="S98" i="11"/>
  <c r="T96" i="11"/>
  <c r="S96" i="11"/>
  <c r="W96" i="11"/>
  <c r="S95" i="11"/>
  <c r="T95" i="11"/>
  <c r="F92" i="11"/>
  <c r="T92" i="11"/>
  <c r="F91" i="11"/>
  <c r="T91" i="11"/>
  <c r="F90" i="11"/>
  <c r="T90" i="11"/>
  <c r="F89" i="11"/>
  <c r="T89" i="11"/>
  <c r="F88" i="11"/>
  <c r="S88" i="11"/>
  <c r="F87" i="11"/>
  <c r="T87" i="11"/>
  <c r="F85" i="11"/>
  <c r="S85" i="11"/>
  <c r="F75" i="11"/>
  <c r="F61" i="11"/>
  <c r="F46" i="11"/>
  <c r="F32" i="11"/>
  <c r="G160" i="11"/>
  <c r="G18" i="10"/>
  <c r="G19" i="10"/>
  <c r="G20" i="10"/>
  <c r="G21" i="10"/>
  <c r="G22" i="10"/>
  <c r="G23" i="10"/>
  <c r="G24" i="10"/>
  <c r="G25" i="10"/>
  <c r="G26" i="10"/>
  <c r="G27" i="10"/>
  <c r="F28" i="10"/>
  <c r="G32" i="10"/>
  <c r="G33" i="10"/>
  <c r="G34" i="10"/>
  <c r="G35" i="10"/>
  <c r="G36" i="10"/>
  <c r="G37" i="10"/>
  <c r="G38" i="10"/>
  <c r="G39" i="10"/>
  <c r="G40" i="10"/>
  <c r="G41" i="10"/>
  <c r="F42" i="10"/>
  <c r="G43" i="10"/>
  <c r="G47" i="10"/>
  <c r="G48" i="10"/>
  <c r="G49" i="10"/>
  <c r="G50" i="10"/>
  <c r="G51" i="10"/>
  <c r="G52" i="10"/>
  <c r="G53" i="10"/>
  <c r="G54" i="10"/>
  <c r="G55" i="10"/>
  <c r="G56" i="10"/>
  <c r="F57" i="10"/>
  <c r="G61" i="10"/>
  <c r="G62" i="10"/>
  <c r="G63" i="10"/>
  <c r="G64" i="10"/>
  <c r="G65" i="10"/>
  <c r="G66" i="10"/>
  <c r="G67" i="10"/>
  <c r="G68" i="10"/>
  <c r="G69" i="10"/>
  <c r="G70" i="10"/>
  <c r="F71" i="10"/>
  <c r="S81" i="10"/>
  <c r="T81" i="10"/>
  <c r="U81" i="10"/>
  <c r="V81" i="10"/>
  <c r="U83" i="10"/>
  <c r="U86" i="10"/>
  <c r="S87" i="10"/>
  <c r="T87" i="10"/>
  <c r="U87" i="10"/>
  <c r="U88" i="10"/>
  <c r="S89" i="10"/>
  <c r="T89" i="10"/>
  <c r="U89" i="10"/>
  <c r="U91" i="10"/>
  <c r="U92" i="10"/>
  <c r="U93" i="10"/>
  <c r="U96" i="10"/>
  <c r="T97" i="10"/>
  <c r="U97" i="10"/>
  <c r="S98" i="10"/>
  <c r="U98" i="10"/>
  <c r="S99" i="10"/>
  <c r="U99" i="10"/>
  <c r="U100" i="10"/>
  <c r="T101" i="10"/>
  <c r="U101" i="10"/>
  <c r="U102" i="10"/>
  <c r="U103" i="10"/>
  <c r="T104" i="10"/>
  <c r="U104" i="10"/>
  <c r="T105" i="10"/>
  <c r="U105" i="10"/>
  <c r="U106" i="10"/>
  <c r="V106" i="10"/>
  <c r="T107" i="10"/>
  <c r="U107" i="10"/>
  <c r="U108" i="10"/>
  <c r="U109" i="10"/>
  <c r="U110" i="10"/>
  <c r="U111" i="10"/>
  <c r="S112" i="10"/>
  <c r="U112" i="10"/>
  <c r="S113" i="10"/>
  <c r="U113" i="10"/>
  <c r="U114" i="10"/>
  <c r="U115" i="10"/>
  <c r="V115" i="10"/>
  <c r="W115" i="10"/>
  <c r="U116" i="10"/>
  <c r="V116" i="10"/>
  <c r="U117" i="10"/>
  <c r="V117" i="10"/>
  <c r="W117" i="10"/>
  <c r="U118" i="10"/>
  <c r="V118" i="10"/>
  <c r="W118" i="10"/>
  <c r="T119" i="10"/>
  <c r="U119" i="10"/>
  <c r="U120" i="10"/>
  <c r="U121" i="10"/>
  <c r="U122" i="10"/>
  <c r="V122" i="10"/>
  <c r="W122" i="10"/>
  <c r="U125" i="10"/>
  <c r="U126" i="10"/>
  <c r="U127" i="10"/>
  <c r="U128" i="10"/>
  <c r="U129" i="10"/>
  <c r="V129" i="10"/>
  <c r="W129" i="10"/>
  <c r="S130" i="10"/>
  <c r="T130" i="10"/>
  <c r="U130" i="10"/>
  <c r="U131" i="10"/>
  <c r="S132" i="10"/>
  <c r="S133" i="10"/>
  <c r="S134" i="10"/>
  <c r="T134" i="10"/>
  <c r="U138" i="10"/>
  <c r="V138" i="10"/>
  <c r="U139" i="10"/>
  <c r="S140" i="10"/>
  <c r="T140" i="10"/>
  <c r="S141" i="10"/>
  <c r="S142" i="10"/>
  <c r="T142" i="10"/>
  <c r="U145" i="10"/>
  <c r="U146" i="10"/>
  <c r="V146" i="10"/>
  <c r="U147" i="10"/>
  <c r="S148" i="10"/>
  <c r="U148" i="10"/>
  <c r="U150" i="10"/>
  <c r="U151" i="10"/>
  <c r="U152" i="10"/>
  <c r="U153" i="10"/>
  <c r="V153" i="10"/>
  <c r="W153" i="10"/>
  <c r="W154" i="10"/>
  <c r="U154" i="10"/>
  <c r="U155" i="10"/>
  <c r="W156" i="10"/>
  <c r="U156" i="10"/>
  <c r="U157" i="10"/>
  <c r="U158" i="10"/>
  <c r="S159" i="10"/>
  <c r="U159" i="10"/>
  <c r="S160" i="10"/>
  <c r="U160" i="10"/>
  <c r="T161" i="10"/>
  <c r="U161" i="10"/>
  <c r="T162" i="10"/>
  <c r="U162" i="10"/>
  <c r="U163" i="10"/>
  <c r="V163" i="10"/>
  <c r="U164" i="10"/>
  <c r="W165" i="10"/>
  <c r="U165" i="10"/>
  <c r="U166" i="10"/>
  <c r="U167" i="10"/>
  <c r="U168" i="10"/>
  <c r="W169" i="10"/>
  <c r="U169" i="10"/>
  <c r="U171" i="10"/>
  <c r="T174" i="10"/>
  <c r="U174" i="10"/>
  <c r="S175" i="10"/>
  <c r="U175" i="10"/>
  <c r="S176" i="10"/>
  <c r="U176" i="10"/>
  <c r="S177" i="10"/>
  <c r="T177" i="10"/>
  <c r="U177" i="10"/>
  <c r="S178" i="10"/>
  <c r="U178" i="10"/>
  <c r="U180" i="10"/>
  <c r="V180" i="10"/>
  <c r="W180" i="10"/>
  <c r="U181" i="10"/>
  <c r="V181" i="10"/>
  <c r="W181" i="10"/>
  <c r="U182" i="10"/>
  <c r="U186" i="10"/>
  <c r="V186" i="10"/>
  <c r="U187" i="10"/>
  <c r="V187" i="10"/>
  <c r="W187" i="10"/>
  <c r="S189" i="10"/>
  <c r="U189" i="10"/>
  <c r="F199" i="10"/>
  <c r="U190" i="10"/>
  <c r="W192" i="10"/>
  <c r="U192" i="10"/>
  <c r="W193" i="10"/>
  <c r="U193" i="10"/>
  <c r="T194" i="10"/>
  <c r="U194" i="10"/>
  <c r="U195" i="10"/>
  <c r="U196" i="10"/>
  <c r="V196" i="10"/>
  <c r="U198" i="10"/>
  <c r="U199" i="10"/>
  <c r="U200" i="10"/>
  <c r="U201" i="10"/>
  <c r="T204" i="10"/>
  <c r="U204" i="10"/>
  <c r="U205" i="10"/>
  <c r="S206" i="10"/>
  <c r="U206" i="10"/>
  <c r="S207" i="10"/>
  <c r="U207" i="10"/>
  <c r="U208" i="10"/>
  <c r="U210" i="10"/>
  <c r="U214" i="10"/>
  <c r="S215" i="10"/>
  <c r="U215" i="10"/>
  <c r="S216" i="10"/>
  <c r="U216" i="10"/>
  <c r="V216" i="10"/>
  <c r="U217" i="10"/>
  <c r="U219" i="10"/>
  <c r="S222" i="10"/>
  <c r="U222" i="10"/>
  <c r="T223" i="10"/>
  <c r="U223" i="10"/>
  <c r="S224" i="10"/>
  <c r="U224" i="10"/>
  <c r="U226" i="10"/>
  <c r="V226" i="10"/>
  <c r="U227" i="10"/>
  <c r="U230" i="10"/>
  <c r="S231" i="10"/>
  <c r="U231" i="10"/>
  <c r="T232" i="10"/>
  <c r="U232" i="10"/>
  <c r="U234" i="10"/>
  <c r="U236" i="10"/>
  <c r="S240" i="10"/>
  <c r="T240" i="10"/>
  <c r="U240" i="10"/>
  <c r="U241" i="10"/>
  <c r="U242" i="10"/>
  <c r="S245" i="10"/>
  <c r="U245" i="10"/>
  <c r="S246" i="10"/>
  <c r="U246" i="10"/>
  <c r="U247" i="10"/>
  <c r="U249" i="10"/>
  <c r="S251" i="10"/>
  <c r="T251" i="10"/>
  <c r="U251" i="10"/>
  <c r="U253" i="10"/>
  <c r="X174" i="4"/>
  <c r="Z89" i="4"/>
  <c r="Z122" i="4"/>
  <c r="Z147" i="4"/>
  <c r="Z149" i="4"/>
  <c r="Z156" i="4"/>
  <c r="Z164" i="4"/>
  <c r="Z171" i="4"/>
  <c r="X188" i="4"/>
  <c r="X186" i="4"/>
  <c r="X184" i="4"/>
  <c r="X183" i="4"/>
  <c r="X182" i="4"/>
  <c r="X180" i="4"/>
  <c r="X179" i="4"/>
  <c r="X178" i="4"/>
  <c r="X172" i="4"/>
  <c r="X165" i="4"/>
  <c r="X157" i="4"/>
  <c r="X149" i="4"/>
  <c r="Y149" i="4"/>
  <c r="X148" i="4"/>
  <c r="X139" i="4"/>
  <c r="X132" i="4"/>
  <c r="X129" i="4"/>
  <c r="X126" i="4"/>
  <c r="X123" i="4"/>
  <c r="X112" i="4"/>
  <c r="X110" i="4"/>
  <c r="X109" i="4"/>
  <c r="X108" i="4"/>
  <c r="X107" i="4"/>
  <c r="X106" i="4"/>
  <c r="X105" i="4"/>
  <c r="X104" i="4"/>
  <c r="X103" i="4"/>
  <c r="X102" i="4"/>
  <c r="X101" i="4"/>
  <c r="X98" i="4"/>
  <c r="X90" i="4"/>
  <c r="X82" i="4"/>
  <c r="X190" i="4"/>
  <c r="X83" i="4"/>
  <c r="X84" i="4"/>
  <c r="X85" i="4"/>
  <c r="X86" i="4"/>
  <c r="X87" i="4"/>
  <c r="X88" i="4"/>
  <c r="X89" i="4"/>
  <c r="Y89" i="4"/>
  <c r="X91" i="4"/>
  <c r="X92" i="4"/>
  <c r="X93" i="4"/>
  <c r="X94" i="4"/>
  <c r="X95" i="4"/>
  <c r="X96" i="4"/>
  <c r="X115" i="4"/>
  <c r="X116" i="4"/>
  <c r="X117" i="4"/>
  <c r="X118" i="4"/>
  <c r="X119" i="4"/>
  <c r="X120" i="4"/>
  <c r="X121" i="4"/>
  <c r="X122" i="4"/>
  <c r="Y122" i="4"/>
  <c r="X127" i="4"/>
  <c r="X128" i="4"/>
  <c r="X130" i="4"/>
  <c r="X131" i="4"/>
  <c r="X133" i="4"/>
  <c r="X134" i="4"/>
  <c r="X135" i="4"/>
  <c r="X136" i="4"/>
  <c r="X137" i="4"/>
  <c r="X142" i="4"/>
  <c r="X143" i="4"/>
  <c r="X144" i="4"/>
  <c r="X145" i="4"/>
  <c r="X146" i="4"/>
  <c r="X147" i="4"/>
  <c r="Y147" i="4"/>
  <c r="X152" i="4"/>
  <c r="X153" i="4"/>
  <c r="X154" i="4"/>
  <c r="X155" i="4"/>
  <c r="X156" i="4"/>
  <c r="Y156" i="4"/>
  <c r="X160" i="4"/>
  <c r="X161" i="4"/>
  <c r="X162" i="4"/>
  <c r="X163" i="4"/>
  <c r="X164" i="4"/>
  <c r="Y164" i="4"/>
  <c r="X168" i="4"/>
  <c r="X169" i="4"/>
  <c r="X170" i="4"/>
  <c r="X171" i="4"/>
  <c r="Y171" i="4"/>
  <c r="X81" i="4"/>
  <c r="W89" i="4"/>
  <c r="I95" i="4"/>
  <c r="W95" i="4"/>
  <c r="W122" i="4"/>
  <c r="W147" i="4"/>
  <c r="W149" i="4"/>
  <c r="W156" i="4"/>
  <c r="W164" i="4"/>
  <c r="W171" i="4"/>
  <c r="I183" i="4"/>
  <c r="W183" i="4"/>
  <c r="V89" i="4"/>
  <c r="V122" i="4"/>
  <c r="I142" i="4"/>
  <c r="V142" i="4"/>
  <c r="I146" i="4"/>
  <c r="V146" i="4"/>
  <c r="V147" i="4"/>
  <c r="V149" i="4"/>
  <c r="V156" i="4"/>
  <c r="V164" i="4"/>
  <c r="V171" i="4"/>
  <c r="I188" i="4"/>
  <c r="V188" i="4"/>
  <c r="W188" i="4"/>
  <c r="I186" i="4"/>
  <c r="V186" i="4"/>
  <c r="I184" i="4"/>
  <c r="V183" i="4"/>
  <c r="I182" i="4"/>
  <c r="V182" i="4"/>
  <c r="I180" i="4"/>
  <c r="V180" i="4"/>
  <c r="I179" i="4"/>
  <c r="W179" i="4"/>
  <c r="I178" i="4"/>
  <c r="W178" i="4"/>
  <c r="I170" i="4"/>
  <c r="I169" i="4"/>
  <c r="W169" i="4"/>
  <c r="J169" i="4"/>
  <c r="Z169" i="4"/>
  <c r="I168" i="4"/>
  <c r="I163" i="4"/>
  <c r="W163" i="4"/>
  <c r="I162" i="4"/>
  <c r="W162" i="4"/>
  <c r="I161" i="4"/>
  <c r="V161" i="4"/>
  <c r="I160" i="4"/>
  <c r="J160" i="4"/>
  <c r="I155" i="4"/>
  <c r="I154" i="4"/>
  <c r="I153" i="4"/>
  <c r="J153" i="4"/>
  <c r="Z153" i="4"/>
  <c r="I152" i="4"/>
  <c r="W152" i="4"/>
  <c r="J146" i="4"/>
  <c r="Z146" i="4"/>
  <c r="W146" i="4"/>
  <c r="I145" i="4"/>
  <c r="W145" i="4"/>
  <c r="J145" i="4"/>
  <c r="I144" i="4"/>
  <c r="J144" i="4"/>
  <c r="I143" i="4"/>
  <c r="W143" i="4"/>
  <c r="V143" i="4"/>
  <c r="J143" i="4"/>
  <c r="W142" i="4"/>
  <c r="I137" i="4"/>
  <c r="W137" i="4"/>
  <c r="I136" i="4"/>
  <c r="J136" i="4"/>
  <c r="Z136" i="4"/>
  <c r="I135" i="4"/>
  <c r="W135" i="4"/>
  <c r="I134" i="4"/>
  <c r="V134" i="4"/>
  <c r="I133" i="4"/>
  <c r="W133" i="4"/>
  <c r="I131" i="4"/>
  <c r="J131" i="4"/>
  <c r="Z131" i="4"/>
  <c r="I130" i="4"/>
  <c r="V130" i="4"/>
  <c r="I128" i="4"/>
  <c r="J128" i="4"/>
  <c r="Y128" i="4" s="1"/>
  <c r="I127" i="4"/>
  <c r="I121" i="4"/>
  <c r="W121" i="4"/>
  <c r="I120" i="4"/>
  <c r="W120" i="4"/>
  <c r="I119" i="4"/>
  <c r="W119" i="4"/>
  <c r="I118" i="4"/>
  <c r="W118" i="4"/>
  <c r="J118" i="4"/>
  <c r="I117" i="4"/>
  <c r="I116" i="4"/>
  <c r="W116" i="4"/>
  <c r="I115" i="4"/>
  <c r="W115" i="4"/>
  <c r="I96" i="4"/>
  <c r="V96" i="4"/>
  <c r="V95" i="4"/>
  <c r="I94" i="4"/>
  <c r="V94" i="4"/>
  <c r="J94" i="4"/>
  <c r="I93" i="4"/>
  <c r="W93" i="4"/>
  <c r="I92" i="4"/>
  <c r="J92" i="4"/>
  <c r="W92" i="4"/>
  <c r="I91" i="4"/>
  <c r="V91" i="4"/>
  <c r="I88" i="4"/>
  <c r="I87" i="4"/>
  <c r="W87" i="4"/>
  <c r="I86" i="4"/>
  <c r="I85" i="4"/>
  <c r="J85" i="4"/>
  <c r="I84" i="4"/>
  <c r="J84" i="4"/>
  <c r="Z84" i="4"/>
  <c r="I83" i="4"/>
  <c r="V83" i="4"/>
  <c r="I71" i="4"/>
  <c r="I57" i="4"/>
  <c r="I42" i="4"/>
  <c r="I28" i="4"/>
  <c r="J168" i="4"/>
  <c r="Z168" i="4"/>
  <c r="J142" i="4"/>
  <c r="Z142" i="4"/>
  <c r="Z118" i="4"/>
  <c r="Y169" i="4"/>
  <c r="I101" i="4"/>
  <c r="T154" i="11"/>
  <c r="S121" i="11"/>
  <c r="U141" i="11"/>
  <c r="U144" i="11"/>
  <c r="G155" i="11"/>
  <c r="W155" i="11"/>
  <c r="G166" i="11"/>
  <c r="W166" i="11"/>
  <c r="T175" i="11"/>
  <c r="S175" i="11"/>
  <c r="W175" i="11"/>
  <c r="G197" i="11"/>
  <c r="W197" i="11"/>
  <c r="U253" i="11"/>
  <c r="V253" i="11"/>
  <c r="W253" i="11"/>
  <c r="U246" i="11"/>
  <c r="V246" i="11"/>
  <c r="U235" i="11"/>
  <c r="U228" i="11"/>
  <c r="U223" i="11"/>
  <c r="U211" i="11"/>
  <c r="U207" i="11"/>
  <c r="U205" i="11"/>
  <c r="V205" i="11"/>
  <c r="U201" i="11"/>
  <c r="U196" i="11"/>
  <c r="V196" i="11"/>
  <c r="U187" i="11"/>
  <c r="U180" i="11"/>
  <c r="V180" i="11"/>
  <c r="W180" i="11"/>
  <c r="U176" i="11"/>
  <c r="U172" i="11"/>
  <c r="U161" i="11"/>
  <c r="U245" i="11"/>
  <c r="V245" i="11"/>
  <c r="W245" i="11"/>
  <c r="U242" i="11"/>
  <c r="V242" i="11"/>
  <c r="W242" i="11"/>
  <c r="U237" i="11"/>
  <c r="G232" i="11"/>
  <c r="W232" i="11"/>
  <c r="W225" i="11"/>
  <c r="U224" i="11"/>
  <c r="U218" i="11"/>
  <c r="V218" i="11"/>
  <c r="U215" i="11"/>
  <c r="U202" i="11"/>
  <c r="U197" i="11"/>
  <c r="V197" i="11"/>
  <c r="U194" i="11"/>
  <c r="U188" i="11"/>
  <c r="U173" i="11"/>
  <c r="U166" i="11"/>
  <c r="V166" i="11"/>
  <c r="U249" i="11"/>
  <c r="V249" i="11"/>
  <c r="U232" i="11"/>
  <c r="V232" i="11"/>
  <c r="U225" i="11"/>
  <c r="U216" i="11"/>
  <c r="U195" i="11"/>
  <c r="U190" i="11"/>
  <c r="U181" i="11"/>
  <c r="V181" i="11"/>
  <c r="W181" i="11"/>
  <c r="U174" i="11"/>
  <c r="U243" i="11"/>
  <c r="V243" i="11"/>
  <c r="W243" i="11"/>
  <c r="U167" i="11"/>
  <c r="U163" i="11"/>
  <c r="U160" i="11"/>
  <c r="V160" i="11"/>
  <c r="U159" i="11"/>
  <c r="U155" i="11"/>
  <c r="U151" i="11"/>
  <c r="U148" i="11"/>
  <c r="V148" i="11"/>
  <c r="U145" i="11"/>
  <c r="V145" i="11"/>
  <c r="U142" i="11"/>
  <c r="U138" i="11"/>
  <c r="U134" i="11"/>
  <c r="V134" i="11"/>
  <c r="W134" i="11"/>
  <c r="U132" i="11"/>
  <c r="V132" i="11"/>
  <c r="W132" i="11"/>
  <c r="U130" i="11"/>
  <c r="U126" i="11"/>
  <c r="U122" i="11"/>
  <c r="U119" i="11"/>
  <c r="U115" i="11"/>
  <c r="U251" i="11"/>
  <c r="V251" i="11"/>
  <c r="U233" i="11"/>
  <c r="U200" i="11"/>
  <c r="U191" i="11"/>
  <c r="U183" i="11"/>
  <c r="U164" i="11"/>
  <c r="U156" i="11"/>
  <c r="U152" i="11"/>
  <c r="U146" i="11"/>
  <c r="U139" i="11"/>
  <c r="U135" i="11"/>
  <c r="U127" i="11"/>
  <c r="U123" i="11"/>
  <c r="U116" i="11"/>
  <c r="U247" i="11"/>
  <c r="V247" i="11"/>
  <c r="U241" i="11"/>
  <c r="V241" i="11"/>
  <c r="W241" i="11"/>
  <c r="U209" i="11"/>
  <c r="V209" i="11"/>
  <c r="U206" i="11"/>
  <c r="V206" i="11"/>
  <c r="G25" i="11"/>
  <c r="G29" i="11"/>
  <c r="G39" i="11"/>
  <c r="G43" i="11"/>
  <c r="G53" i="11"/>
  <c r="G57" i="11"/>
  <c r="G67" i="11"/>
  <c r="G71" i="11"/>
  <c r="U85" i="11"/>
  <c r="G87" i="11"/>
  <c r="U90" i="11"/>
  <c r="S92" i="11"/>
  <c r="S99" i="11"/>
  <c r="U104" i="11"/>
  <c r="U111" i="11"/>
  <c r="G112" i="11"/>
  <c r="W112" i="11"/>
  <c r="T114" i="11"/>
  <c r="T118" i="11"/>
  <c r="S118" i="11"/>
  <c r="W123" i="11"/>
  <c r="S124" i="11"/>
  <c r="W127" i="11"/>
  <c r="S128" i="11"/>
  <c r="U133" i="11"/>
  <c r="V133" i="11"/>
  <c r="W133" i="11"/>
  <c r="U140" i="11"/>
  <c r="U143" i="11"/>
  <c r="V143" i="11"/>
  <c r="W143" i="11"/>
  <c r="U147" i="11"/>
  <c r="U154" i="11"/>
  <c r="U157" i="11"/>
  <c r="G163" i="11"/>
  <c r="W163" i="11"/>
  <c r="T163" i="11"/>
  <c r="U175" i="11"/>
  <c r="V175" i="11"/>
  <c r="S180" i="11"/>
  <c r="T180" i="11"/>
  <c r="U217" i="11"/>
  <c r="U220" i="11"/>
  <c r="V220" i="11"/>
  <c r="S147" i="11"/>
  <c r="T147" i="11"/>
  <c r="G147" i="11"/>
  <c r="V147" i="11"/>
  <c r="W147" i="11"/>
  <c r="G22" i="11"/>
  <c r="G26" i="11"/>
  <c r="G30" i="11"/>
  <c r="G36" i="11"/>
  <c r="G40" i="11"/>
  <c r="G44" i="11"/>
  <c r="G47" i="11"/>
  <c r="G54" i="11"/>
  <c r="G58" i="11"/>
  <c r="G68" i="11"/>
  <c r="G72" i="11"/>
  <c r="G85" i="11"/>
  <c r="U89" i="11"/>
  <c r="U95" i="11"/>
  <c r="U103" i="11"/>
  <c r="U107" i="11"/>
  <c r="V107" i="11"/>
  <c r="W107" i="11"/>
  <c r="U110" i="11"/>
  <c r="W118" i="11"/>
  <c r="U121" i="11"/>
  <c r="U125" i="11"/>
  <c r="U129" i="11"/>
  <c r="U131" i="11"/>
  <c r="V131" i="11"/>
  <c r="W131" i="11"/>
  <c r="S136" i="11"/>
  <c r="G136" i="11"/>
  <c r="U153" i="11"/>
  <c r="T160" i="11"/>
  <c r="S160" i="11"/>
  <c r="U169" i="11"/>
  <c r="T196" i="11"/>
  <c r="S196" i="11"/>
  <c r="T233" i="11"/>
  <c r="W177" i="11"/>
  <c r="F201" i="11"/>
  <c r="T201" i="11"/>
  <c r="G194" i="11"/>
  <c r="T217" i="11"/>
  <c r="S217" i="11"/>
  <c r="G217" i="11"/>
  <c r="W217" i="11"/>
  <c r="S223" i="11"/>
  <c r="G190" i="11"/>
  <c r="T193" i="11"/>
  <c r="G195" i="11"/>
  <c r="T207" i="11"/>
  <c r="G216" i="11"/>
  <c r="W216" i="11"/>
  <c r="T223" i="11"/>
  <c r="W175" i="10"/>
  <c r="S123" i="10"/>
  <c r="T123" i="10"/>
  <c r="W81" i="10"/>
  <c r="T190" i="10"/>
  <c r="S168" i="10"/>
  <c r="T160" i="10"/>
  <c r="S147" i="10"/>
  <c r="S86" i="10"/>
  <c r="T86" i="10"/>
  <c r="T246" i="10"/>
  <c r="T186" i="10"/>
  <c r="S151" i="10"/>
  <c r="T151" i="10"/>
  <c r="S119" i="10"/>
  <c r="W96" i="4"/>
  <c r="J96" i="4"/>
  <c r="J170" i="4"/>
  <c r="W170" i="4"/>
  <c r="V170" i="4"/>
  <c r="I103" i="4"/>
  <c r="W103" i="4"/>
  <c r="V178" i="4"/>
  <c r="V81" i="4"/>
  <c r="V121" i="4"/>
  <c r="J121" i="4"/>
  <c r="W144" i="4"/>
  <c r="V144" i="4"/>
  <c r="V154" i="4"/>
  <c r="J154" i="4"/>
  <c r="Z154" i="4"/>
  <c r="W182" i="4"/>
  <c r="W154" i="4"/>
  <c r="Y154" i="4"/>
  <c r="Y146" i="4"/>
  <c r="W84" i="4"/>
  <c r="V84" i="4"/>
  <c r="V135" i="4"/>
  <c r="J135" i="4"/>
  <c r="W186" i="4"/>
  <c r="Y153" i="4"/>
  <c r="V163" i="4"/>
  <c r="V152" i="4"/>
  <c r="V145" i="4"/>
  <c r="V133" i="4"/>
  <c r="V119" i="4"/>
  <c r="V115" i="4"/>
  <c r="V88" i="4"/>
  <c r="W94" i="4"/>
  <c r="W85" i="4"/>
  <c r="J115" i="4"/>
  <c r="J117" i="4"/>
  <c r="Z117" i="4"/>
  <c r="J119" i="4"/>
  <c r="Z119" i="4"/>
  <c r="J133" i="4"/>
  <c r="Z133" i="4"/>
  <c r="J152" i="4"/>
  <c r="Z152" i="4"/>
  <c r="J155" i="4"/>
  <c r="J162" i="4"/>
  <c r="Y162" i="4"/>
  <c r="V179" i="4"/>
  <c r="V169" i="4"/>
  <c r="V162" i="4"/>
  <c r="V136" i="4"/>
  <c r="V118" i="4"/>
  <c r="V92" i="4"/>
  <c r="W172" i="11"/>
  <c r="Z155" i="4"/>
  <c r="Y155" i="4"/>
  <c r="I139" i="4"/>
  <c r="W139" i="4"/>
  <c r="I106" i="4"/>
  <c r="W106" i="4"/>
  <c r="Z96" i="4"/>
  <c r="I107" i="4"/>
  <c r="V107" i="4"/>
  <c r="I109" i="4"/>
  <c r="W109" i="4"/>
  <c r="I104" i="4"/>
  <c r="V104" i="4"/>
  <c r="I82" i="4"/>
  <c r="I132" i="4"/>
  <c r="V132" i="4"/>
  <c r="I129" i="4"/>
  <c r="V129" i="4"/>
  <c r="Z144" i="4"/>
  <c r="Y144" i="4"/>
  <c r="I110" i="4"/>
  <c r="V110" i="4"/>
  <c r="I105" i="4"/>
  <c r="W105" i="4"/>
  <c r="I157" i="4"/>
  <c r="Z135" i="4"/>
  <c r="I172" i="4"/>
  <c r="V172" i="4"/>
  <c r="Y136" i="4"/>
  <c r="Y119" i="4"/>
  <c r="I102" i="4"/>
  <c r="I126" i="4"/>
  <c r="V126" i="4"/>
  <c r="I108" i="4"/>
  <c r="W108" i="4"/>
  <c r="Z170" i="4"/>
  <c r="Y170" i="4"/>
  <c r="I165" i="4"/>
  <c r="V165" i="4"/>
  <c r="I148" i="4"/>
  <c r="Z162" i="4"/>
  <c r="Z92" i="4"/>
  <c r="I123" i="4"/>
  <c r="V123" i="4"/>
  <c r="I98" i="4"/>
  <c r="V98" i="4"/>
  <c r="Z121" i="4"/>
  <c r="Y121" i="4"/>
  <c r="I90" i="4"/>
  <c r="V90" i="4"/>
  <c r="I112" i="4"/>
  <c r="I174" i="4"/>
  <c r="V106" i="4"/>
  <c r="V131" i="4"/>
  <c r="W131" i="4"/>
  <c r="T158" i="15"/>
  <c r="S158" i="15"/>
  <c r="W81" i="15"/>
  <c r="T83" i="15"/>
  <c r="T89" i="15"/>
  <c r="T126" i="15"/>
  <c r="S146" i="15"/>
  <c r="W149" i="15"/>
  <c r="S91" i="15"/>
  <c r="T91" i="15"/>
  <c r="S94" i="15"/>
  <c r="T94" i="15"/>
  <c r="F97" i="15"/>
  <c r="S97" i="15"/>
  <c r="T97" i="15"/>
  <c r="T140" i="15"/>
  <c r="S168" i="15"/>
  <c r="T168" i="15"/>
  <c r="T178" i="15"/>
  <c r="S184" i="15"/>
  <c r="T184" i="15"/>
  <c r="G83" i="15"/>
  <c r="S140" i="15"/>
  <c r="F153" i="15"/>
  <c r="S153" i="15"/>
  <c r="S179" i="15"/>
  <c r="T179" i="15"/>
  <c r="T202" i="15"/>
  <c r="W186" i="15"/>
  <c r="W174" i="4"/>
  <c r="W98" i="4"/>
  <c r="W130" i="4"/>
  <c r="U246" i="14"/>
  <c r="U193" i="14"/>
  <c r="U213" i="14"/>
  <c r="U240" i="14"/>
  <c r="U202" i="14"/>
  <c r="W173" i="14"/>
  <c r="U134" i="14"/>
  <c r="U161" i="14"/>
  <c r="U148" i="14"/>
  <c r="U86" i="14"/>
  <c r="G38" i="14"/>
  <c r="U149" i="14"/>
  <c r="G65" i="14"/>
  <c r="G27" i="14"/>
  <c r="U159" i="14"/>
  <c r="U108" i="14"/>
  <c r="G81" i="14"/>
  <c r="W81" i="14"/>
  <c r="S170" i="14"/>
  <c r="W170" i="14"/>
  <c r="T170" i="14"/>
  <c r="S84" i="14"/>
  <c r="S114" i="14"/>
  <c r="T114" i="14"/>
  <c r="T249" i="14"/>
  <c r="T88" i="14"/>
  <c r="S128" i="14"/>
  <c r="T128" i="14"/>
  <c r="S138" i="14"/>
  <c r="S141" i="14"/>
  <c r="S188" i="14"/>
  <c r="T188" i="14"/>
  <c r="T253" i="14"/>
  <c r="S191" i="14"/>
  <c r="T231" i="14"/>
  <c r="W230" i="14"/>
  <c r="V109" i="4"/>
  <c r="G93" i="13"/>
  <c r="T133" i="13"/>
  <c r="S133" i="13"/>
  <c r="S183" i="13"/>
  <c r="W144" i="13"/>
  <c r="G91" i="13"/>
  <c r="S93" i="13"/>
  <c r="T93" i="13"/>
  <c r="W133" i="13"/>
  <c r="S141" i="13"/>
  <c r="T141" i="13"/>
  <c r="G153" i="13"/>
  <c r="G149" i="13"/>
  <c r="W149" i="13"/>
  <c r="S177" i="13"/>
  <c r="G198" i="13"/>
  <c r="W198" i="13"/>
  <c r="S214" i="13"/>
  <c r="S245" i="13"/>
  <c r="T245" i="13"/>
  <c r="T198" i="13"/>
  <c r="G207" i="13"/>
  <c r="W207" i="13"/>
  <c r="T214" i="13"/>
  <c r="V245" i="13"/>
  <c r="T184" i="13"/>
  <c r="S184" i="13"/>
  <c r="V127" i="4"/>
  <c r="W107" i="12"/>
  <c r="W129" i="4"/>
  <c r="V103" i="4"/>
  <c r="T86" i="12"/>
  <c r="S86" i="12"/>
  <c r="T170" i="12"/>
  <c r="S170" i="12"/>
  <c r="S190" i="12"/>
  <c r="G190" i="12"/>
  <c r="V190" i="12"/>
  <c r="G170" i="12"/>
  <c r="W170" i="12"/>
  <c r="T154" i="12"/>
  <c r="S154" i="12"/>
  <c r="W81" i="4"/>
  <c r="W123" i="12"/>
  <c r="T142" i="12"/>
  <c r="W147" i="12"/>
  <c r="S174" i="12"/>
  <c r="T174" i="12"/>
  <c r="S226" i="12"/>
  <c r="S200" i="12"/>
  <c r="T200" i="12"/>
  <c r="T216" i="12"/>
  <c r="G180" i="12"/>
  <c r="W158" i="15"/>
  <c r="W83" i="15"/>
  <c r="V144" i="15"/>
  <c r="W144" i="15"/>
  <c r="S110" i="10"/>
  <c r="S101" i="10"/>
  <c r="S162" i="10"/>
  <c r="W162" i="10"/>
  <c r="S141" i="12"/>
  <c r="T141" i="12"/>
  <c r="V147" i="12"/>
  <c r="G211" i="12"/>
  <c r="S152" i="12"/>
  <c r="T211" i="12"/>
  <c r="G42" i="12"/>
  <c r="G173" i="12"/>
  <c r="V173" i="12"/>
  <c r="T209" i="12"/>
  <c r="W190" i="12"/>
  <c r="S84" i="12"/>
  <c r="G159" i="12"/>
  <c r="W159" i="12"/>
  <c r="S117" i="12"/>
  <c r="T117" i="12"/>
  <c r="S134" i="12"/>
  <c r="T134" i="12"/>
  <c r="V136" i="12"/>
  <c r="S136" i="12"/>
  <c r="T136" i="12"/>
  <c r="T224" i="12"/>
  <c r="G57" i="12"/>
  <c r="W129" i="12"/>
  <c r="G167" i="12"/>
  <c r="S168" i="12"/>
  <c r="S199" i="12"/>
  <c r="T199" i="12"/>
  <c r="G202" i="12"/>
  <c r="S243" i="12"/>
  <c r="T243" i="12"/>
  <c r="G71" i="12"/>
  <c r="V248" i="12"/>
  <c r="W108" i="12"/>
  <c r="S202" i="12"/>
  <c r="G210" i="12"/>
  <c r="W210" i="12"/>
  <c r="G92" i="13"/>
  <c r="S237" i="13"/>
  <c r="T237" i="13"/>
  <c r="G196" i="13"/>
  <c r="V196" i="13"/>
  <c r="G187" i="13"/>
  <c r="S234" i="13"/>
  <c r="S137" i="13"/>
  <c r="T183" i="13"/>
  <c r="S232" i="13"/>
  <c r="S135" i="13"/>
  <c r="G159" i="13"/>
  <c r="V159" i="13"/>
  <c r="S95" i="13"/>
  <c r="W135" i="13"/>
  <c r="T159" i="13"/>
  <c r="W155" i="18"/>
  <c r="V109" i="18"/>
  <c r="S206" i="18"/>
  <c r="T206" i="18"/>
  <c r="F180" i="18"/>
  <c r="S180" i="18"/>
  <c r="S84" i="18"/>
  <c r="T84" i="18"/>
  <c r="S122" i="18"/>
  <c r="W136" i="18"/>
  <c r="T136" i="18"/>
  <c r="V190" i="18"/>
  <c r="W190" i="18"/>
  <c r="S226" i="18"/>
  <c r="T226" i="18"/>
  <c r="S90" i="18"/>
  <c r="T90" i="18"/>
  <c r="V110" i="18"/>
  <c r="S169" i="18"/>
  <c r="T169" i="18"/>
  <c r="T122" i="18"/>
  <c r="S110" i="18"/>
  <c r="T110" i="18"/>
  <c r="S89" i="18"/>
  <c r="T89" i="18"/>
  <c r="S118" i="18"/>
  <c r="T205" i="18"/>
  <c r="S101" i="18"/>
  <c r="S109" i="18"/>
  <c r="T109" i="18"/>
  <c r="S121" i="18"/>
  <c r="T121" i="18"/>
  <c r="V93" i="18"/>
  <c r="T135" i="18"/>
  <c r="W139" i="18"/>
  <c r="F181" i="18"/>
  <c r="G181" i="18"/>
  <c r="V181" i="18"/>
  <c r="W181" i="18"/>
  <c r="V178" i="18"/>
  <c r="V186" i="18"/>
  <c r="W186" i="18"/>
  <c r="S115" i="18"/>
  <c r="S273" i="17"/>
  <c r="T273" i="17"/>
  <c r="V271" i="17"/>
  <c r="W271" i="17"/>
  <c r="S271" i="17"/>
  <c r="T271" i="17"/>
  <c r="S84" i="17"/>
  <c r="S147" i="17"/>
  <c r="S269" i="17"/>
  <c r="T269" i="17"/>
  <c r="F157" i="17"/>
  <c r="S157" i="17"/>
  <c r="S138" i="17"/>
  <c r="W87" i="17"/>
  <c r="V226" i="17"/>
  <c r="S81" i="17"/>
  <c r="W166" i="17"/>
  <c r="S167" i="17"/>
  <c r="V214" i="17"/>
  <c r="V224" i="17"/>
  <c r="V210" i="17"/>
  <c r="T263" i="17"/>
  <c r="S235" i="17"/>
  <c r="T235" i="17"/>
  <c r="V195" i="17"/>
  <c r="S87" i="17"/>
  <c r="T194" i="17"/>
  <c r="T234" i="17"/>
  <c r="S197" i="15"/>
  <c r="T197" i="15"/>
  <c r="S194" i="15"/>
  <c r="T194" i="15"/>
  <c r="Z85" i="4"/>
  <c r="Y84" i="4"/>
  <c r="G97" i="15"/>
  <c r="V97" i="15"/>
  <c r="W97" i="15"/>
  <c r="V108" i="4"/>
  <c r="W165" i="4"/>
  <c r="W104" i="4"/>
  <c r="V174" i="4"/>
  <c r="V128" i="4"/>
  <c r="W128" i="4"/>
  <c r="W107" i="4"/>
  <c r="W123" i="4"/>
  <c r="W90" i="4"/>
  <c r="J130" i="4"/>
  <c r="Z130" i="4" s="1"/>
  <c r="V139" i="4"/>
  <c r="V105" i="4"/>
  <c r="W110" i="4"/>
  <c r="W132" i="4"/>
  <c r="V112" i="17"/>
  <c r="S152" i="17"/>
  <c r="T152" i="17"/>
  <c r="S104" i="17"/>
  <c r="V192" i="17"/>
  <c r="W192" i="17"/>
  <c r="S86" i="17"/>
  <c r="S91" i="17"/>
  <c r="T91" i="17"/>
  <c r="T171" i="17"/>
  <c r="S171" i="17"/>
  <c r="S195" i="17"/>
  <c r="T195" i="17"/>
  <c r="S94" i="17"/>
  <c r="T98" i="17"/>
  <c r="W175" i="17"/>
  <c r="T175" i="17"/>
  <c r="S175" i="17"/>
  <c r="S97" i="17"/>
  <c r="T97" i="17"/>
  <c r="S112" i="17"/>
  <c r="T112" i="17"/>
  <c r="S200" i="17"/>
  <c r="T200" i="17"/>
  <c r="S207" i="17"/>
  <c r="T207" i="17"/>
  <c r="V207" i="17"/>
  <c r="W207" i="17"/>
  <c r="S166" i="17"/>
  <c r="T167" i="17"/>
  <c r="W178" i="17"/>
  <c r="S193" i="17"/>
  <c r="T209" i="17"/>
  <c r="T210" i="17"/>
  <c r="S214" i="17"/>
  <c r="T214" i="17"/>
  <c r="S240" i="17"/>
  <c r="T240" i="17"/>
  <c r="F73" i="17"/>
  <c r="S178" i="17"/>
  <c r="S225" i="17"/>
  <c r="T225" i="17"/>
  <c r="S249" i="17"/>
  <c r="T249" i="17"/>
  <c r="V118" i="17"/>
  <c r="S118" i="17"/>
  <c r="W125" i="17"/>
  <c r="W117" i="17"/>
  <c r="T118" i="17"/>
  <c r="S125" i="17"/>
  <c r="T126" i="17"/>
  <c r="T119" i="17"/>
  <c r="T117" i="17"/>
  <c r="W130" i="17"/>
  <c r="G165" i="13"/>
  <c r="W165" i="13"/>
  <c r="S167" i="13"/>
  <c r="T167" i="13"/>
  <c r="G167" i="13"/>
  <c r="W167" i="13"/>
  <c r="S119" i="13"/>
  <c r="T119" i="13"/>
  <c r="F190" i="13"/>
  <c r="S190" i="13"/>
  <c r="S143" i="13"/>
  <c r="S247" i="13"/>
  <c r="T247" i="13"/>
  <c r="T85" i="13"/>
  <c r="S85" i="13"/>
  <c r="S207" i="13"/>
  <c r="G87" i="13"/>
  <c r="W87" i="13"/>
  <c r="S216" i="13"/>
  <c r="T216" i="13"/>
  <c r="V216" i="13"/>
  <c r="W216" i="13"/>
  <c r="T87" i="13"/>
  <c r="W114" i="13"/>
  <c r="V139" i="13"/>
  <c r="W139" i="13"/>
  <c r="S139" i="13"/>
  <c r="T139" i="13"/>
  <c r="S240" i="13"/>
  <c r="T240" i="13"/>
  <c r="S241" i="13"/>
  <c r="T241" i="13"/>
  <c r="G42" i="13"/>
  <c r="W134" i="13"/>
  <c r="T146" i="13"/>
  <c r="G156" i="13"/>
  <c r="W156" i="13"/>
  <c r="S171" i="13"/>
  <c r="T171" i="13"/>
  <c r="G28" i="12"/>
  <c r="F73" i="12"/>
  <c r="T107" i="12"/>
  <c r="S113" i="12"/>
  <c r="T172" i="12"/>
  <c r="S172" i="12"/>
  <c r="G172" i="12"/>
  <c r="W172" i="12"/>
  <c r="W180" i="12"/>
  <c r="T88" i="12"/>
  <c r="S88" i="12"/>
  <c r="G88" i="12"/>
  <c r="W88" i="12"/>
  <c r="G94" i="12"/>
  <c r="S94" i="12"/>
  <c r="T94" i="12"/>
  <c r="W105" i="12"/>
  <c r="S118" i="12"/>
  <c r="T118" i="12"/>
  <c r="T218" i="12"/>
  <c r="S246" i="12"/>
  <c r="T246" i="12"/>
  <c r="S144" i="12"/>
  <c r="T144" i="12"/>
  <c r="W144" i="12"/>
  <c r="T155" i="12"/>
  <c r="G155" i="12"/>
  <c r="G160" i="12"/>
  <c r="W160" i="12"/>
  <c r="S224" i="12"/>
  <c r="G224" i="12"/>
  <c r="W224" i="12"/>
  <c r="S216" i="12"/>
  <c r="W168" i="12"/>
  <c r="T168" i="12"/>
  <c r="T180" i="12"/>
  <c r="S180" i="12"/>
  <c r="T184" i="12"/>
  <c r="S244" i="12"/>
  <c r="T244" i="12"/>
  <c r="W126" i="11"/>
  <c r="V225" i="11"/>
  <c r="U226" i="11"/>
  <c r="G193" i="11"/>
  <c r="U136" i="11"/>
  <c r="U128" i="11"/>
  <c r="U120" i="11"/>
  <c r="V120" i="11"/>
  <c r="W120" i="11"/>
  <c r="U117" i="11"/>
  <c r="U112" i="11"/>
  <c r="V112" i="11"/>
  <c r="U109" i="11"/>
  <c r="U98" i="11"/>
  <c r="V98" i="11"/>
  <c r="U97" i="11"/>
  <c r="G151" i="11"/>
  <c r="U150" i="11"/>
  <c r="V150" i="11"/>
  <c r="U114" i="11"/>
  <c r="V114" i="11"/>
  <c r="W114" i="11"/>
  <c r="U100" i="11"/>
  <c r="V100" i="11"/>
  <c r="U99" i="11"/>
  <c r="G28" i="11"/>
  <c r="G38" i="11"/>
  <c r="G56" i="11"/>
  <c r="G65" i="11"/>
  <c r="G73" i="11"/>
  <c r="U92" i="11"/>
  <c r="U102" i="11"/>
  <c r="U137" i="11"/>
  <c r="G23" i="11"/>
  <c r="G31" i="11"/>
  <c r="G41" i="11"/>
  <c r="G51" i="11"/>
  <c r="G59" i="11"/>
  <c r="G66" i="11"/>
  <c r="G74" i="11"/>
  <c r="U88" i="11"/>
  <c r="G89" i="11"/>
  <c r="U91" i="11"/>
  <c r="U96" i="11"/>
  <c r="V96" i="11"/>
  <c r="U118" i="11"/>
  <c r="V118" i="11"/>
  <c r="W141" i="11"/>
  <c r="W159" i="19"/>
  <c r="U96" i="19"/>
  <c r="V96" i="19"/>
  <c r="W108" i="19"/>
  <c r="V241" i="19"/>
  <c r="W241" i="19"/>
  <c r="U86" i="19"/>
  <c r="G56" i="19"/>
  <c r="V120" i="19"/>
  <c r="G48" i="19"/>
  <c r="V144" i="19"/>
  <c r="U220" i="19"/>
  <c r="U201" i="19"/>
  <c r="U242" i="19"/>
  <c r="V242" i="19"/>
  <c r="W242" i="19"/>
  <c r="U228" i="19"/>
  <c r="V228" i="19"/>
  <c r="V211" i="19"/>
  <c r="U244" i="19"/>
  <c r="V244" i="19"/>
  <c r="W244" i="19"/>
  <c r="U218" i="19"/>
  <c r="U197" i="19"/>
  <c r="U172" i="19"/>
  <c r="V172" i="19"/>
  <c r="U240" i="19"/>
  <c r="V240" i="19"/>
  <c r="W240" i="19"/>
  <c r="V190" i="19"/>
  <c r="U178" i="19"/>
  <c r="U153" i="19"/>
  <c r="U145" i="19"/>
  <c r="U133" i="19"/>
  <c r="U150" i="19"/>
  <c r="U142" i="19"/>
  <c r="U130" i="19"/>
  <c r="U194" i="19"/>
  <c r="U226" i="19"/>
  <c r="U186" i="19"/>
  <c r="U151" i="19"/>
  <c r="U116" i="19"/>
  <c r="U108" i="19"/>
  <c r="V108" i="19"/>
  <c r="U87" i="19"/>
  <c r="G61" i="19"/>
  <c r="G47" i="19"/>
  <c r="G27" i="19"/>
  <c r="U140" i="19"/>
  <c r="U132" i="19"/>
  <c r="U113" i="19"/>
  <c r="G64" i="19"/>
  <c r="G40" i="19"/>
  <c r="G22" i="19"/>
  <c r="V141" i="19"/>
  <c r="U122" i="19"/>
  <c r="U110" i="19"/>
  <c r="U100" i="19"/>
  <c r="G63" i="19"/>
  <c r="G25" i="19"/>
  <c r="U103" i="19"/>
  <c r="U123" i="19"/>
  <c r="V123" i="19"/>
  <c r="G70" i="19"/>
  <c r="U81" i="19"/>
  <c r="V81" i="19"/>
  <c r="U92" i="19"/>
  <c r="V92" i="19"/>
  <c r="W92" i="19"/>
  <c r="V134" i="19"/>
  <c r="W149" i="19"/>
  <c r="W211" i="12"/>
  <c r="G73" i="12"/>
  <c r="V237" i="13"/>
  <c r="W237" i="13"/>
  <c r="V135" i="13"/>
  <c r="V228" i="18"/>
  <c r="V87" i="17"/>
  <c r="V197" i="17"/>
  <c r="W197" i="17"/>
  <c r="V215" i="17"/>
  <c r="W215" i="17"/>
  <c r="V197" i="15"/>
  <c r="W197" i="15"/>
  <c r="V194" i="15"/>
  <c r="W194" i="15"/>
  <c r="V97" i="17"/>
  <c r="W119" i="17"/>
  <c r="V119" i="17"/>
  <c r="V241" i="13"/>
  <c r="W241" i="13"/>
  <c r="V94" i="12"/>
  <c r="V246" i="12"/>
  <c r="W246" i="12"/>
  <c r="W155" i="12"/>
  <c r="V155" i="12"/>
  <c r="W123" i="19"/>
  <c r="W89" i="11"/>
  <c r="V89" i="11"/>
  <c r="W112" i="19"/>
  <c r="V236" i="19"/>
  <c r="W193" i="11"/>
  <c r="S143" i="12"/>
  <c r="W143" i="12"/>
  <c r="S140" i="12"/>
  <c r="T113" i="12"/>
  <c r="S108" i="12"/>
  <c r="G151" i="13"/>
  <c r="W151" i="13"/>
  <c r="S148" i="13"/>
  <c r="T151" i="13"/>
  <c r="W143" i="13"/>
  <c r="T143" i="13"/>
  <c r="V137" i="13"/>
  <c r="W137" i="13"/>
  <c r="S125" i="13"/>
  <c r="T125" i="13"/>
  <c r="W108" i="13"/>
  <c r="V109" i="13"/>
  <c r="S108" i="13"/>
  <c r="W144" i="18"/>
  <c r="T144" i="18"/>
  <c r="S144" i="18"/>
  <c r="T132" i="18"/>
  <c r="S132" i="18"/>
  <c r="Y150" i="18"/>
  <c r="Y241" i="18"/>
  <c r="S120" i="18"/>
  <c r="T120" i="18"/>
  <c r="T116" i="18"/>
  <c r="S112" i="18"/>
  <c r="S116" i="18"/>
  <c r="T117" i="18"/>
  <c r="W117" i="18"/>
  <c r="V106" i="18"/>
  <c r="W106" i="18"/>
  <c r="T106" i="18"/>
  <c r="S186" i="17"/>
  <c r="S181" i="17"/>
  <c r="V175" i="17"/>
  <c r="T172" i="17"/>
  <c r="S169" i="17"/>
  <c r="S165" i="17"/>
  <c r="T165" i="17"/>
  <c r="T138" i="17"/>
  <c r="F127" i="17"/>
  <c r="T127" i="17"/>
  <c r="T132" i="17"/>
  <c r="W129" i="17"/>
  <c r="T129" i="17"/>
  <c r="V131" i="17"/>
  <c r="W123" i="17"/>
  <c r="T123" i="17"/>
  <c r="V110" i="17"/>
  <c r="T114" i="17"/>
  <c r="S110" i="17"/>
  <c r="S111" i="15"/>
  <c r="T111" i="15"/>
  <c r="W111" i="15"/>
  <c r="V103" i="15"/>
  <c r="W103" i="15"/>
  <c r="S161" i="14"/>
  <c r="T161" i="14"/>
  <c r="T141" i="14"/>
  <c r="W125" i="14"/>
  <c r="S124" i="14"/>
  <c r="T125" i="14"/>
  <c r="W160" i="19"/>
  <c r="S162" i="19"/>
  <c r="W156" i="19"/>
  <c r="T152" i="19"/>
  <c r="S156" i="19"/>
  <c r="T147" i="19"/>
  <c r="W147" i="19"/>
  <c r="T140" i="19"/>
  <c r="W144" i="19"/>
  <c r="T135" i="19"/>
  <c r="S128" i="19"/>
  <c r="S130" i="19"/>
  <c r="W130" i="19"/>
  <c r="W124" i="19"/>
  <c r="S124" i="19"/>
  <c r="S126" i="19"/>
  <c r="S117" i="19"/>
  <c r="S116" i="19"/>
  <c r="W106" i="19"/>
  <c r="G165" i="11"/>
  <c r="W165" i="11"/>
  <c r="G154" i="11"/>
  <c r="G152" i="11"/>
  <c r="W152" i="11"/>
  <c r="S152" i="11"/>
  <c r="S145" i="11"/>
  <c r="T145" i="11"/>
  <c r="S146" i="11"/>
  <c r="S142" i="11"/>
  <c r="S132" i="11"/>
  <c r="T132" i="11"/>
  <c r="S134" i="11"/>
  <c r="T134" i="11"/>
  <c r="S129" i="11"/>
  <c r="T130" i="11"/>
  <c r="T120" i="11"/>
  <c r="S110" i="11"/>
  <c r="S112" i="11"/>
  <c r="G110" i="11"/>
  <c r="W110" i="11"/>
  <c r="G111" i="11"/>
  <c r="W111" i="11"/>
  <c r="T133" i="10"/>
  <c r="T132" i="10"/>
  <c r="S121" i="10"/>
  <c r="T121" i="10"/>
  <c r="S122" i="10"/>
  <c r="T122" i="10"/>
  <c r="W194" i="11"/>
  <c r="V204" i="19"/>
  <c r="V185" i="19"/>
  <c r="V123" i="11"/>
  <c r="V163" i="11"/>
  <c r="V212" i="19"/>
  <c r="W190" i="11"/>
  <c r="V141" i="11"/>
  <c r="W188" i="19"/>
  <c r="V188" i="19"/>
  <c r="V190" i="11"/>
  <c r="W238" i="19"/>
  <c r="V238" i="19"/>
  <c r="G37" i="11"/>
  <c r="G52" i="11"/>
  <c r="G69" i="11"/>
  <c r="U108" i="11"/>
  <c r="V108" i="11"/>
  <c r="W108" i="11"/>
  <c r="U119" i="19"/>
  <c r="V119" i="19"/>
  <c r="U199" i="11"/>
  <c r="U162" i="11"/>
  <c r="U177" i="11"/>
  <c r="V177" i="11"/>
  <c r="U208" i="11"/>
  <c r="U231" i="11"/>
  <c r="U165" i="11"/>
  <c r="U193" i="11"/>
  <c r="V193" i="11"/>
  <c r="V224" i="11"/>
  <c r="G92" i="11"/>
  <c r="W92" i="11"/>
  <c r="G24" i="11"/>
  <c r="G42" i="11"/>
  <c r="G55" i="11"/>
  <c r="G70" i="11"/>
  <c r="U113" i="11"/>
  <c r="U124" i="11"/>
  <c r="U195" i="19"/>
  <c r="U227" i="19"/>
  <c r="V227" i="19"/>
  <c r="G20" i="19"/>
  <c r="G38" i="19"/>
  <c r="G42" i="19"/>
  <c r="T112" i="18"/>
  <c r="V129" i="17"/>
  <c r="V152" i="11"/>
  <c r="G75" i="11"/>
  <c r="V92" i="11"/>
  <c r="W84" i="12"/>
  <c r="W86" i="12"/>
  <c r="V86" i="12"/>
  <c r="S93" i="12"/>
  <c r="T93" i="12"/>
  <c r="W83" i="12"/>
  <c r="G153" i="12"/>
  <c r="S153" i="12"/>
  <c r="T124" i="12"/>
  <c r="T105" i="12"/>
  <c r="S105" i="12"/>
  <c r="W111" i="12"/>
  <c r="S122" i="12"/>
  <c r="T122" i="12"/>
  <c r="W125" i="12"/>
  <c r="T125" i="12"/>
  <c r="S111" i="12"/>
  <c r="V119" i="12"/>
  <c r="T119" i="12"/>
  <c r="S138" i="12"/>
  <c r="T138" i="12"/>
  <c r="W142" i="12"/>
  <c r="S124" i="12"/>
  <c r="T130" i="12"/>
  <c r="S135" i="12"/>
  <c r="T135" i="12"/>
  <c r="S142" i="12"/>
  <c r="T106" i="12"/>
  <c r="T111" i="12"/>
  <c r="S125" i="12"/>
  <c r="S148" i="12"/>
  <c r="T153" i="12"/>
  <c r="T156" i="12"/>
  <c r="G156" i="12"/>
  <c r="V156" i="12"/>
  <c r="V171" i="12"/>
  <c r="T169" i="12"/>
  <c r="T183" i="12"/>
  <c r="G189" i="12"/>
  <c r="V189" i="12"/>
  <c r="W189" i="12"/>
  <c r="S183" i="12"/>
  <c r="V200" i="12"/>
  <c r="W200" i="12"/>
  <c r="V210" i="12"/>
  <c r="S210" i="12"/>
  <c r="S225" i="12"/>
  <c r="S228" i="12"/>
  <c r="T225" i="12"/>
  <c r="S224" i="13"/>
  <c r="T224" i="13"/>
  <c r="G222" i="13"/>
  <c r="S222" i="13"/>
  <c r="S208" i="13"/>
  <c r="W183" i="13"/>
  <c r="V184" i="13"/>
  <c r="W184" i="13"/>
  <c r="G181" i="13"/>
  <c r="T181" i="13"/>
  <c r="S165" i="13"/>
  <c r="T165" i="13"/>
  <c r="S169" i="13"/>
  <c r="W104" i="13"/>
  <c r="W145" i="13"/>
  <c r="V145" i="13"/>
  <c r="S144" i="13"/>
  <c r="S127" i="13"/>
  <c r="S145" i="13"/>
  <c r="S147" i="13"/>
  <c r="T101" i="13"/>
  <c r="T104" i="13"/>
  <c r="S101" i="13"/>
  <c r="T145" i="13"/>
  <c r="T152" i="13"/>
  <c r="G152" i="13"/>
  <c r="V152" i="13"/>
  <c r="S102" i="13"/>
  <c r="S104" i="13"/>
  <c r="T91" i="13"/>
  <c r="T86" i="13"/>
  <c r="W214" i="18"/>
  <c r="V187" i="18"/>
  <c r="W187" i="18"/>
  <c r="S187" i="18"/>
  <c r="T187" i="18"/>
  <c r="V175" i="18"/>
  <c r="W175" i="18"/>
  <c r="S175" i="18"/>
  <c r="T175" i="18"/>
  <c r="V157" i="18"/>
  <c r="V162" i="18"/>
  <c r="W162" i="18"/>
  <c r="T162" i="18"/>
  <c r="W116" i="18"/>
  <c r="V116" i="18"/>
  <c r="W132" i="18"/>
  <c r="V132" i="18"/>
  <c r="V111" i="18"/>
  <c r="W111" i="18"/>
  <c r="W147" i="18"/>
  <c r="V147" i="18"/>
  <c r="V100" i="18"/>
  <c r="W100" i="18"/>
  <c r="W140" i="18"/>
  <c r="T147" i="18"/>
  <c r="T103" i="18"/>
  <c r="S141" i="18"/>
  <c r="S100" i="18"/>
  <c r="T100" i="18"/>
  <c r="T146" i="18"/>
  <c r="V101" i="18"/>
  <c r="W101" i="18"/>
  <c r="S134" i="18"/>
  <c r="T131" i="18"/>
  <c r="S111" i="18"/>
  <c r="T111" i="18"/>
  <c r="S147" i="18"/>
  <c r="V250" i="17"/>
  <c r="W250" i="17"/>
  <c r="V249" i="17"/>
  <c r="W249" i="17"/>
  <c r="S250" i="17"/>
  <c r="T250" i="17"/>
  <c r="W242" i="17"/>
  <c r="W234" i="17"/>
  <c r="T237" i="17"/>
  <c r="T223" i="17"/>
  <c r="V212" i="17"/>
  <c r="W212" i="17"/>
  <c r="T217" i="17"/>
  <c r="S212" i="17"/>
  <c r="T212" i="17"/>
  <c r="S209" i="17"/>
  <c r="F219" i="17"/>
  <c r="T206" i="17"/>
  <c r="V198" i="17"/>
  <c r="W198" i="17"/>
  <c r="S192" i="17"/>
  <c r="T192" i="17"/>
  <c r="S198" i="17"/>
  <c r="T198" i="17"/>
  <c r="F202" i="17"/>
  <c r="G196" i="17"/>
  <c r="T199" i="17"/>
  <c r="W114" i="17"/>
  <c r="V136" i="17"/>
  <c r="W136" i="17"/>
  <c r="W167" i="17"/>
  <c r="V137" i="17"/>
  <c r="W137" i="17"/>
  <c r="F109" i="17"/>
  <c r="S109" i="17"/>
  <c r="S120" i="17"/>
  <c r="T174" i="17"/>
  <c r="V187" i="17"/>
  <c r="F170" i="17"/>
  <c r="T131" i="17"/>
  <c r="V178" i="17"/>
  <c r="S114" i="17"/>
  <c r="T116" i="17"/>
  <c r="S137" i="17"/>
  <c r="T137" i="17"/>
  <c r="S136" i="17"/>
  <c r="T136" i="17"/>
  <c r="V125" i="17"/>
  <c r="F133" i="17"/>
  <c r="V174" i="17"/>
  <c r="F121" i="17"/>
  <c r="S121" i="17"/>
  <c r="S135" i="17"/>
  <c r="T135" i="17"/>
  <c r="S187" i="17"/>
  <c r="V91" i="17"/>
  <c r="W91" i="17"/>
  <c r="V98" i="17"/>
  <c r="W98" i="17"/>
  <c r="T85" i="17"/>
  <c r="V116" i="15"/>
  <c r="W116" i="15"/>
  <c r="T128" i="15"/>
  <c r="T130" i="15"/>
  <c r="S102" i="15"/>
  <c r="T102" i="15"/>
  <c r="W106" i="15"/>
  <c r="G84" i="15"/>
  <c r="T84" i="15"/>
  <c r="F96" i="15"/>
  <c r="S96" i="15"/>
  <c r="V128" i="15"/>
  <c r="W128" i="15"/>
  <c r="S128" i="15"/>
  <c r="W129" i="15"/>
  <c r="S129" i="15"/>
  <c r="T143" i="15"/>
  <c r="T146" i="15"/>
  <c r="F154" i="15"/>
  <c r="S154" i="15"/>
  <c r="T154" i="15"/>
  <c r="S162" i="15"/>
  <c r="F173" i="15"/>
  <c r="S173" i="15"/>
  <c r="T173" i="15"/>
  <c r="S170" i="15"/>
  <c r="T170" i="15"/>
  <c r="V176" i="15"/>
  <c r="V185" i="15"/>
  <c r="F188" i="15"/>
  <c r="S185" i="15"/>
  <c r="T185" i="15"/>
  <c r="V186" i="15"/>
  <c r="G119" i="16"/>
  <c r="F147" i="16"/>
  <c r="S229" i="14"/>
  <c r="S221" i="14"/>
  <c r="T202" i="14"/>
  <c r="S192" i="14"/>
  <c r="T192" i="14"/>
  <c r="S185" i="14"/>
  <c r="T185" i="14"/>
  <c r="S177" i="14"/>
  <c r="T177" i="14"/>
  <c r="T168" i="14"/>
  <c r="T143" i="14"/>
  <c r="S139" i="14"/>
  <c r="T150" i="14"/>
  <c r="S87" i="14"/>
  <c r="F223" i="19"/>
  <c r="S223" i="19"/>
  <c r="T223" i="19"/>
  <c r="W221" i="19"/>
  <c r="S221" i="19"/>
  <c r="V219" i="19"/>
  <c r="S219" i="19"/>
  <c r="T210" i="19"/>
  <c r="W185" i="19"/>
  <c r="S191" i="19"/>
  <c r="S190" i="19"/>
  <c r="F194" i="19"/>
  <c r="T175" i="19"/>
  <c r="F178" i="19"/>
  <c r="S170" i="19"/>
  <c r="T104" i="19"/>
  <c r="S112" i="19"/>
  <c r="S134" i="19"/>
  <c r="T134" i="19"/>
  <c r="T141" i="19"/>
  <c r="S153" i="19"/>
  <c r="W134" i="19"/>
  <c r="T106" i="19"/>
  <c r="S140" i="19"/>
  <c r="W140" i="19"/>
  <c r="S144" i="19"/>
  <c r="S114" i="19"/>
  <c r="F115" i="19"/>
  <c r="S115" i="19"/>
  <c r="W116" i="19"/>
  <c r="S92" i="19"/>
  <c r="T92" i="19"/>
  <c r="S84" i="19"/>
  <c r="S87" i="19"/>
  <c r="T84" i="19"/>
  <c r="T95" i="19"/>
  <c r="V95" i="19"/>
  <c r="W224" i="11"/>
  <c r="V226" i="11"/>
  <c r="S226" i="11"/>
  <c r="S225" i="11"/>
  <c r="F220" i="11"/>
  <c r="G215" i="11"/>
  <c r="S215" i="11"/>
  <c r="T216" i="11"/>
  <c r="S218" i="11"/>
  <c r="V217" i="11"/>
  <c r="G208" i="11"/>
  <c r="W208" i="11"/>
  <c r="G207" i="11"/>
  <c r="S208" i="11"/>
  <c r="F200" i="11"/>
  <c r="S200" i="11"/>
  <c r="G191" i="11"/>
  <c r="G187" i="11"/>
  <c r="V187" i="11"/>
  <c r="S190" i="11"/>
  <c r="S191" i="11"/>
  <c r="V172" i="11"/>
  <c r="T172" i="11"/>
  <c r="S173" i="11"/>
  <c r="T174" i="11"/>
  <c r="S176" i="11"/>
  <c r="T173" i="11"/>
  <c r="S181" i="11"/>
  <c r="T181" i="11"/>
  <c r="W160" i="11"/>
  <c r="W138" i="11"/>
  <c r="S144" i="11"/>
  <c r="T144" i="11"/>
  <c r="V121" i="11"/>
  <c r="W116" i="11"/>
  <c r="F156" i="11"/>
  <c r="T167" i="11"/>
  <c r="T135" i="11"/>
  <c r="T139" i="11"/>
  <c r="V111" i="11"/>
  <c r="F131" i="11"/>
  <c r="W121" i="11"/>
  <c r="S158" i="11"/>
  <c r="S141" i="11"/>
  <c r="G157" i="11"/>
  <c r="G167" i="11"/>
  <c r="G153" i="11"/>
  <c r="T99" i="11"/>
  <c r="G109" i="11"/>
  <c r="V165" i="11"/>
  <c r="S116" i="11"/>
  <c r="F119" i="11"/>
  <c r="G144" i="11"/>
  <c r="V144" i="11"/>
  <c r="F162" i="11"/>
  <c r="T162" i="11"/>
  <c r="T111" i="11"/>
  <c r="S122" i="11"/>
  <c r="S165" i="11"/>
  <c r="G135" i="11"/>
  <c r="S157" i="11"/>
  <c r="S109" i="11"/>
  <c r="V155" i="11"/>
  <c r="V95" i="11"/>
  <c r="W95" i="11"/>
  <c r="W87" i="11"/>
  <c r="G90" i="11"/>
  <c r="F104" i="11"/>
  <c r="S97" i="11"/>
  <c r="T97" i="11"/>
  <c r="S90" i="11"/>
  <c r="T205" i="10"/>
  <c r="S180" i="10"/>
  <c r="T180" i="10"/>
  <c r="W194" i="10"/>
  <c r="T216" i="10"/>
  <c r="S230" i="10"/>
  <c r="T222" i="10"/>
  <c r="S217" i="10"/>
  <c r="T208" i="10"/>
  <c r="S208" i="10"/>
  <c r="T189" i="10"/>
  <c r="S187" i="10"/>
  <c r="T187" i="10"/>
  <c r="S181" i="10"/>
  <c r="T181" i="10"/>
  <c r="T156" i="10"/>
  <c r="S126" i="10"/>
  <c r="T126" i="10"/>
  <c r="S106" i="10"/>
  <c r="W160" i="10"/>
  <c r="S150" i="10"/>
  <c r="T150" i="10"/>
  <c r="T155" i="10"/>
  <c r="S149" i="10"/>
  <c r="T149" i="10"/>
  <c r="S127" i="10"/>
  <c r="T127" i="10"/>
  <c r="S125" i="10"/>
  <c r="T125" i="10"/>
  <c r="S137" i="10"/>
  <c r="T137" i="10"/>
  <c r="T98" i="10"/>
  <c r="W230" i="19"/>
  <c r="U158" i="11"/>
  <c r="G45" i="11"/>
  <c r="U87" i="11"/>
  <c r="V87" i="11"/>
  <c r="W171" i="19"/>
  <c r="V111" i="19"/>
  <c r="G27" i="11"/>
  <c r="G32" i="11"/>
  <c r="G60" i="11"/>
  <c r="G158" i="11"/>
  <c r="W158" i="11"/>
  <c r="W156" i="12"/>
  <c r="V135" i="12"/>
  <c r="W135" i="12"/>
  <c r="S133" i="12"/>
  <c r="T133" i="12"/>
  <c r="S139" i="12"/>
  <c r="T139" i="12"/>
  <c r="V140" i="12"/>
  <c r="W140" i="12"/>
  <c r="W181" i="13"/>
  <c r="W147" i="13"/>
  <c r="W152" i="13"/>
  <c r="S104" i="18"/>
  <c r="T104" i="18"/>
  <c r="W145" i="18"/>
  <c r="V129" i="18"/>
  <c r="S220" i="17"/>
  <c r="T220" i="17"/>
  <c r="G217" i="17"/>
  <c r="V206" i="17"/>
  <c r="W206" i="17"/>
  <c r="S202" i="17"/>
  <c r="T202" i="17"/>
  <c r="T109" i="17"/>
  <c r="V133" i="17"/>
  <c r="W133" i="17"/>
  <c r="V116" i="17"/>
  <c r="W116" i="17"/>
  <c r="S170" i="17"/>
  <c r="T170" i="17"/>
  <c r="V129" i="15"/>
  <c r="V84" i="15"/>
  <c r="T96" i="15"/>
  <c r="V188" i="15"/>
  <c r="W188" i="15"/>
  <c r="S188" i="15"/>
  <c r="T188" i="15"/>
  <c r="T194" i="19"/>
  <c r="S194" i="19"/>
  <c r="S178" i="19"/>
  <c r="T178" i="19"/>
  <c r="T115" i="19"/>
  <c r="W128" i="19"/>
  <c r="W215" i="11"/>
  <c r="V215" i="11"/>
  <c r="T220" i="11"/>
  <c r="S220" i="11"/>
  <c r="W207" i="11"/>
  <c r="G211" i="11"/>
  <c r="V208" i="11"/>
  <c r="V207" i="11"/>
  <c r="W187" i="11"/>
  <c r="V191" i="11"/>
  <c r="G200" i="11"/>
  <c r="W191" i="11"/>
  <c r="T200" i="11"/>
  <c r="V174" i="11"/>
  <c r="W174" i="11"/>
  <c r="W176" i="11"/>
  <c r="V176" i="11"/>
  <c r="W109" i="11"/>
  <c r="V109" i="11"/>
  <c r="W122" i="11"/>
  <c r="V122" i="11"/>
  <c r="S119" i="11"/>
  <c r="W167" i="11"/>
  <c r="V167" i="11"/>
  <c r="S131" i="11"/>
  <c r="T131" i="11"/>
  <c r="S156" i="11"/>
  <c r="T156" i="11"/>
  <c r="S162" i="11"/>
  <c r="W157" i="11"/>
  <c r="W153" i="11"/>
  <c r="V153" i="11"/>
  <c r="W135" i="11"/>
  <c r="V135" i="11"/>
  <c r="V99" i="11"/>
  <c r="W99" i="11"/>
  <c r="V90" i="11"/>
  <c r="W90" i="11"/>
  <c r="W216" i="10"/>
  <c r="V160" i="10"/>
  <c r="V217" i="17"/>
  <c r="W217" i="17"/>
  <c r="W211" i="11"/>
  <c r="V211" i="11"/>
  <c r="W200" i="11"/>
  <c r="V200" i="11"/>
  <c r="S92" i="14"/>
  <c r="T92" i="14"/>
  <c r="W191" i="14"/>
  <c r="T191" i="14"/>
  <c r="T229" i="14"/>
  <c r="S239" i="14"/>
  <c r="S83" i="14"/>
  <c r="T83" i="14"/>
  <c r="T86" i="14"/>
  <c r="T147" i="14"/>
  <c r="U96" i="14"/>
  <c r="U235" i="14"/>
  <c r="U215" i="14"/>
  <c r="U160" i="14"/>
  <c r="U135" i="14"/>
  <c r="V135" i="14"/>
  <c r="W135" i="14"/>
  <c r="G24" i="14"/>
  <c r="U83" i="14"/>
  <c r="U171" i="14"/>
  <c r="G40" i="14"/>
  <c r="U94" i="14"/>
  <c r="U114" i="14"/>
  <c r="W153" i="14"/>
  <c r="U229" i="14"/>
  <c r="V229" i="14"/>
  <c r="U214" i="14"/>
  <c r="U155" i="14"/>
  <c r="U152" i="14"/>
  <c r="G66" i="14"/>
  <c r="U138" i="14"/>
  <c r="G33" i="14"/>
  <c r="U111" i="14"/>
  <c r="G26" i="14"/>
  <c r="G63" i="14"/>
  <c r="S130" i="14"/>
  <c r="T130" i="14"/>
  <c r="S193" i="14"/>
  <c r="T193" i="14"/>
  <c r="T221" i="14"/>
  <c r="S241" i="14"/>
  <c r="T241" i="14"/>
  <c r="S155" i="14"/>
  <c r="T108" i="14"/>
  <c r="S246" i="14"/>
  <c r="T246" i="14"/>
  <c r="S109" i="14"/>
  <c r="T109" i="14"/>
  <c r="S122" i="14"/>
  <c r="T122" i="14"/>
  <c r="S113" i="14"/>
  <c r="T113" i="14"/>
  <c r="S240" i="14"/>
  <c r="T240" i="14"/>
  <c r="U102" i="14"/>
  <c r="U128" i="14"/>
  <c r="T239" i="14"/>
  <c r="S169" i="14"/>
  <c r="W230" i="10"/>
  <c r="W109" i="10"/>
  <c r="V242" i="10"/>
  <c r="W242" i="10"/>
  <c r="T110" i="10"/>
  <c r="S88" i="10"/>
  <c r="T88" i="10"/>
  <c r="S242" i="10"/>
  <c r="T242" i="10"/>
  <c r="S192" i="10"/>
  <c r="V251" i="10"/>
  <c r="W251" i="10"/>
  <c r="S235" i="12"/>
  <c r="V235" i="12"/>
  <c r="S98" i="12"/>
  <c r="T98" i="12"/>
  <c r="G98" i="12"/>
  <c r="V98" i="12"/>
  <c r="W98" i="12"/>
  <c r="W216" i="12"/>
  <c r="S92" i="12"/>
  <c r="T92" i="12"/>
  <c r="G92" i="12"/>
  <c r="G99" i="12"/>
  <c r="V99" i="12"/>
  <c r="W99" i="12"/>
  <c r="W113" i="12"/>
  <c r="W124" i="12"/>
  <c r="S242" i="12"/>
  <c r="T242" i="12"/>
  <c r="W183" i="12"/>
  <c r="V183" i="12"/>
  <c r="G186" i="12"/>
  <c r="S186" i="12"/>
  <c r="T186" i="12"/>
  <c r="W198" i="12"/>
  <c r="W225" i="12"/>
  <c r="S236" i="12"/>
  <c r="T236" i="12"/>
  <c r="W81" i="12"/>
  <c r="V93" i="12"/>
  <c r="W93" i="12"/>
  <c r="S187" i="12"/>
  <c r="T152" i="12"/>
  <c r="T235" i="12"/>
  <c r="V224" i="13"/>
  <c r="W224" i="13"/>
  <c r="V101" i="13"/>
  <c r="W103" i="13"/>
  <c r="T102" i="13"/>
  <c r="V102" i="13"/>
  <c r="T156" i="13"/>
  <c r="S156" i="13"/>
  <c r="T234" i="13"/>
  <c r="V234" i="13"/>
  <c r="W245" i="13"/>
  <c r="G95" i="13"/>
  <c r="W95" i="13"/>
  <c r="V132" i="13"/>
  <c r="W132" i="13"/>
  <c r="S243" i="13"/>
  <c r="T243" i="13"/>
  <c r="T148" i="13"/>
  <c r="S121" i="13"/>
  <c r="T121" i="13"/>
  <c r="V141" i="13"/>
  <c r="G150" i="13"/>
  <c r="G195" i="13"/>
  <c r="V198" i="13"/>
  <c r="T232" i="13"/>
  <c r="V239" i="13"/>
  <c r="W239" i="13"/>
  <c r="T239" i="13"/>
  <c r="W196" i="13"/>
  <c r="G57" i="13"/>
  <c r="G71" i="13"/>
  <c r="V92" i="13"/>
  <c r="T149" i="13"/>
  <c r="G157" i="13"/>
  <c r="V157" i="13"/>
  <c r="S197" i="13"/>
  <c r="T197" i="13"/>
  <c r="V232" i="13"/>
  <c r="W232" i="13"/>
  <c r="G56" i="16"/>
  <c r="G61" i="16"/>
  <c r="G147" i="16"/>
  <c r="W98" i="10"/>
  <c r="V240" i="10"/>
  <c r="W240" i="10"/>
  <c r="V242" i="12"/>
  <c r="W242" i="12"/>
  <c r="V186" i="12"/>
  <c r="W186" i="12"/>
  <c r="V236" i="12"/>
  <c r="W236" i="12"/>
  <c r="V247" i="13"/>
  <c r="V243" i="13"/>
  <c r="W243" i="13"/>
  <c r="S188" i="12"/>
  <c r="T188" i="12"/>
  <c r="G188" i="12"/>
  <c r="V188" i="12"/>
  <c r="V243" i="12"/>
  <c r="W243" i="12"/>
  <c r="V116" i="12"/>
  <c r="W116" i="12"/>
  <c r="S116" i="12"/>
  <c r="T116" i="12"/>
  <c r="V111" i="12"/>
  <c r="V113" i="12"/>
  <c r="V88" i="12"/>
  <c r="V105" i="12"/>
  <c r="V107" i="12"/>
  <c r="V122" i="12"/>
  <c r="W122" i="12"/>
  <c r="V124" i="12"/>
  <c r="V216" i="12"/>
  <c r="V120" i="12"/>
  <c r="S195" i="12"/>
  <c r="T195" i="12" s="1"/>
  <c r="V199" i="12"/>
  <c r="W199" i="12"/>
  <c r="V134" i="12"/>
  <c r="W134" i="12"/>
  <c r="V138" i="12"/>
  <c r="W138" i="12"/>
  <c r="S161" i="12"/>
  <c r="T159" i="12"/>
  <c r="T161" i="12"/>
  <c r="V159" i="12"/>
  <c r="V146" i="12"/>
  <c r="W148" i="12"/>
  <c r="T150" i="12"/>
  <c r="T146" i="12"/>
  <c r="S146" i="12"/>
  <c r="W150" i="12"/>
  <c r="V139" i="12"/>
  <c r="W139" i="12"/>
  <c r="V144" i="12"/>
  <c r="V129" i="12"/>
  <c r="S127" i="12"/>
  <c r="S129" i="12"/>
  <c r="W131" i="12"/>
  <c r="S131" i="12"/>
  <c r="V125" i="12"/>
  <c r="V110" i="12"/>
  <c r="S114" i="12"/>
  <c r="V108" i="12"/>
  <c r="V84" i="12"/>
  <c r="W161" i="12"/>
  <c r="V161" i="12"/>
  <c r="V106" i="12"/>
  <c r="W106" i="12"/>
  <c r="W169" i="12"/>
  <c r="V169" i="12"/>
  <c r="V85" i="12"/>
  <c r="V162" i="12"/>
  <c r="W162" i="12"/>
  <c r="T128" i="12"/>
  <c r="V115" i="12"/>
  <c r="W115" i="12"/>
  <c r="T201" i="12"/>
  <c r="T160" i="12"/>
  <c r="T85" i="12"/>
  <c r="V83" i="12"/>
  <c r="T167" i="12"/>
  <c r="T181" i="12"/>
  <c r="S201" i="12"/>
  <c r="S126" i="12"/>
  <c r="T99" i="12"/>
  <c r="V87" i="12"/>
  <c r="S169" i="12"/>
  <c r="G194" i="12"/>
  <c r="G157" i="12"/>
  <c r="W187" i="12"/>
  <c r="T228" i="12"/>
  <c r="W188" i="12"/>
  <c r="F193" i="12"/>
  <c r="T187" i="12"/>
  <c r="S106" i="12"/>
  <c r="S87" i="12"/>
  <c r="T87" i="12"/>
  <c r="S204" i="12"/>
  <c r="S85" i="12"/>
  <c r="S112" i="12"/>
  <c r="V172" i="12"/>
  <c r="G184" i="12"/>
  <c r="S181" i="12"/>
  <c r="G209" i="12"/>
  <c r="S149" i="12"/>
  <c r="S147" i="12"/>
  <c r="V211" i="12"/>
  <c r="V224" i="12"/>
  <c r="F194" i="12"/>
  <c r="S194" i="12"/>
  <c r="T194" i="12"/>
  <c r="V158" i="12"/>
  <c r="G181" i="12"/>
  <c r="G100" i="12"/>
  <c r="W136" i="12"/>
  <c r="V201" i="12"/>
  <c r="W173" i="12"/>
  <c r="S171" i="12"/>
  <c r="T158" i="12"/>
  <c r="S158" i="12"/>
  <c r="T84" i="12"/>
  <c r="S132" i="12"/>
  <c r="S104" i="12"/>
  <c r="T171" i="12"/>
  <c r="V150" i="12"/>
  <c r="T123" i="12"/>
  <c r="W114" i="12"/>
  <c r="W132" i="12"/>
  <c r="G226" i="12"/>
  <c r="V168" i="12"/>
  <c r="G73" i="13"/>
  <c r="W109" i="13"/>
  <c r="G186" i="13"/>
  <c r="V84" i="13"/>
  <c r="T195" i="13"/>
  <c r="S140" i="13"/>
  <c r="T140" i="13"/>
  <c r="V125" i="13"/>
  <c r="W125" i="13"/>
  <c r="V149" i="13"/>
  <c r="V151" i="13"/>
  <c r="T153" i="13"/>
  <c r="G155" i="13"/>
  <c r="V181" i="13"/>
  <c r="V195" i="13"/>
  <c r="W195" i="13"/>
  <c r="T190" i="13"/>
  <c r="S100" i="13"/>
  <c r="T105" i="13"/>
  <c r="W159" i="13"/>
  <c r="S84" i="13"/>
  <c r="V121" i="13"/>
  <c r="W121" i="13"/>
  <c r="V183" i="13"/>
  <c r="V156" i="13"/>
  <c r="V147" i="13"/>
  <c r="V144" i="13"/>
  <c r="V130" i="13"/>
  <c r="S130" i="13"/>
  <c r="T130" i="13"/>
  <c r="V133" i="13"/>
  <c r="S126" i="13"/>
  <c r="T128" i="13"/>
  <c r="S118" i="13"/>
  <c r="T118" i="13"/>
  <c r="V114" i="13"/>
  <c r="S109" i="13"/>
  <c r="T100" i="13"/>
  <c r="V103" i="13"/>
  <c r="G96" i="13"/>
  <c r="W96" i="13"/>
  <c r="T96" i="13"/>
  <c r="G83" i="13"/>
  <c r="W83" i="13"/>
  <c r="W222" i="13"/>
  <c r="V222" i="13"/>
  <c r="V93" i="13"/>
  <c r="W93" i="13"/>
  <c r="S107" i="13"/>
  <c r="W107" i="13"/>
  <c r="T107" i="13"/>
  <c r="S113" i="13"/>
  <c r="T113" i="13"/>
  <c r="V115" i="13"/>
  <c r="W115" i="13"/>
  <c r="T117" i="13"/>
  <c r="S117" i="13"/>
  <c r="W155" i="13"/>
  <c r="V155" i="13"/>
  <c r="G164" i="13"/>
  <c r="W164" i="13"/>
  <c r="T164" i="13"/>
  <c r="S166" i="13"/>
  <c r="G166" i="13"/>
  <c r="S170" i="13"/>
  <c r="T170" i="13"/>
  <c r="G170" i="13"/>
  <c r="V170" i="13"/>
  <c r="W170" i="13"/>
  <c r="V186" i="13"/>
  <c r="W186" i="13"/>
  <c r="S201" i="13"/>
  <c r="T201" i="13"/>
  <c r="G197" i="13"/>
  <c r="T199" i="13"/>
  <c r="G199" i="13"/>
  <c r="W199" i="13"/>
  <c r="S213" i="13"/>
  <c r="T213" i="13"/>
  <c r="S219" i="13"/>
  <c r="T219" i="13"/>
  <c r="S215" i="13"/>
  <c r="T215" i="13"/>
  <c r="G223" i="13"/>
  <c r="T223" i="13"/>
  <c r="S223" i="13"/>
  <c r="S142" i="13"/>
  <c r="T142" i="13"/>
  <c r="V138" i="13"/>
  <c r="W122" i="13"/>
  <c r="V213" i="13"/>
  <c r="W213" i="13"/>
  <c r="W157" i="13"/>
  <c r="G168" i="13"/>
  <c r="W168" i="13"/>
  <c r="T168" i="13"/>
  <c r="W92" i="13"/>
  <c r="S199" i="13"/>
  <c r="W129" i="13"/>
  <c r="S129" i="13"/>
  <c r="T129" i="13"/>
  <c r="S138" i="13"/>
  <c r="T138" i="13"/>
  <c r="S136" i="13"/>
  <c r="T136" i="13"/>
  <c r="V187" i="13"/>
  <c r="W187" i="13"/>
  <c r="S146" i="13"/>
  <c r="V164" i="13"/>
  <c r="V197" i="13"/>
  <c r="W197" i="13"/>
  <c r="V150" i="13"/>
  <c r="W150" i="13"/>
  <c r="T166" i="13"/>
  <c r="V214" i="13"/>
  <c r="W214" i="13"/>
  <c r="W138" i="13"/>
  <c r="W153" i="13"/>
  <c r="V153" i="13"/>
  <c r="T123" i="13"/>
  <c r="S123" i="13"/>
  <c r="V118" i="13"/>
  <c r="W118" i="13"/>
  <c r="V91" i="13"/>
  <c r="W91" i="13"/>
  <c r="W141" i="13"/>
  <c r="S157" i="13"/>
  <c r="T94" i="13"/>
  <c r="S120" i="13"/>
  <c r="T120" i="13"/>
  <c r="T132" i="13"/>
  <c r="G86" i="13"/>
  <c r="V128" i="13"/>
  <c r="F191" i="13"/>
  <c r="S191" i="13"/>
  <c r="T191" i="13"/>
  <c r="V143" i="13"/>
  <c r="S111" i="13"/>
  <c r="S134" i="13"/>
  <c r="S155" i="13"/>
  <c r="G88" i="13"/>
  <c r="S180" i="13"/>
  <c r="S187" i="13"/>
  <c r="T92" i="13"/>
  <c r="V81" i="13"/>
  <c r="W81" i="13"/>
  <c r="V134" i="13"/>
  <c r="S150" i="13"/>
  <c r="W142" i="13"/>
  <c r="G94" i="13"/>
  <c r="V94" i="13"/>
  <c r="W94" i="13"/>
  <c r="T103" i="13"/>
  <c r="S122" i="13"/>
  <c r="T122" i="13"/>
  <c r="G208" i="13"/>
  <c r="T88" i="13"/>
  <c r="V87" i="13"/>
  <c r="W105" i="13"/>
  <c r="G180" i="13"/>
  <c r="G190" i="13"/>
  <c r="W190" i="13"/>
  <c r="S103" i="13"/>
  <c r="V207" i="13"/>
  <c r="G177" i="13"/>
  <c r="W177" i="13"/>
  <c r="S128" i="13"/>
  <c r="V108" i="13"/>
  <c r="V167" i="13"/>
  <c r="V171" i="13"/>
  <c r="W171" i="13"/>
  <c r="S139" i="18"/>
  <c r="V133" i="18"/>
  <c r="W232" i="18"/>
  <c r="S86" i="18"/>
  <c r="T86" i="18"/>
  <c r="V86" i="18"/>
  <c r="W86" i="18"/>
  <c r="S188" i="18"/>
  <c r="T188" i="18"/>
  <c r="S192" i="18"/>
  <c r="T192" i="18"/>
  <c r="W228" i="18"/>
  <c r="S199" i="18"/>
  <c r="T199" i="18"/>
  <c r="V199" i="18"/>
  <c r="W199" i="18"/>
  <c r="S177" i="18"/>
  <c r="T177" i="18"/>
  <c r="V154" i="18"/>
  <c r="W154" i="18"/>
  <c r="S154" i="18"/>
  <c r="T154" i="18"/>
  <c r="V89" i="18"/>
  <c r="W89" i="18"/>
  <c r="V216" i="18"/>
  <c r="W216" i="18"/>
  <c r="V158" i="18"/>
  <c r="S183" i="18"/>
  <c r="T183" i="18"/>
  <c r="V189" i="18"/>
  <c r="W189" i="18"/>
  <c r="V226" i="18"/>
  <c r="S131" i="18"/>
  <c r="W114" i="18"/>
  <c r="W156" i="18"/>
  <c r="S189" i="18"/>
  <c r="T189" i="18"/>
  <c r="W129" i="18"/>
  <c r="V214" i="18"/>
  <c r="V124" i="18"/>
  <c r="W124" i="18"/>
  <c r="T158" i="18"/>
  <c r="S93" i="18"/>
  <c r="V83" i="18"/>
  <c r="W83" i="18"/>
  <c r="V103" i="18"/>
  <c r="W103" i="18"/>
  <c r="V113" i="18"/>
  <c r="V117" i="18"/>
  <c r="V121" i="18"/>
  <c r="W121" i="18"/>
  <c r="V140" i="18"/>
  <c r="V169" i="18"/>
  <c r="W169" i="18"/>
  <c r="T81" i="17"/>
  <c r="V241" i="17"/>
  <c r="S246" i="17"/>
  <c r="T246" i="17"/>
  <c r="T168" i="17"/>
  <c r="V169" i="17"/>
  <c r="F164" i="17"/>
  <c r="S164" i="17"/>
  <c r="T164" i="17"/>
  <c r="T130" i="17"/>
  <c r="W128" i="17"/>
  <c r="S128" i="17"/>
  <c r="T121" i="17"/>
  <c r="S122" i="17"/>
  <c r="V122" i="17"/>
  <c r="V123" i="17"/>
  <c r="T124" i="17"/>
  <c r="V126" i="17"/>
  <c r="T122" i="17"/>
  <c r="S124" i="17"/>
  <c r="W110" i="17"/>
  <c r="S111" i="17"/>
  <c r="T86" i="17"/>
  <c r="F106" i="17"/>
  <c r="S106" i="17"/>
  <c r="V177" i="15"/>
  <c r="W177" i="15"/>
  <c r="W176" i="15"/>
  <c r="S176" i="15"/>
  <c r="T176" i="15"/>
  <c r="V83" i="15"/>
  <c r="T107" i="15"/>
  <c r="S108" i="15"/>
  <c r="T108" i="15"/>
  <c r="V168" i="15"/>
  <c r="W168" i="15"/>
  <c r="F115" i="15"/>
  <c r="V158" i="15"/>
  <c r="V102" i="15"/>
  <c r="W102" i="15"/>
  <c r="V125" i="15"/>
  <c r="V133" i="15"/>
  <c r="V140" i="15"/>
  <c r="G85" i="15"/>
  <c r="V85" i="15"/>
  <c r="S148" i="15"/>
  <c r="T148" i="15"/>
  <c r="V106" i="15"/>
  <c r="W85" i="15"/>
  <c r="S125" i="15"/>
  <c r="F101" i="15"/>
  <c r="S101" i="15"/>
  <c r="T101" i="15"/>
  <c r="T161" i="15"/>
  <c r="V171" i="15"/>
  <c r="W171" i="15"/>
  <c r="S117" i="15"/>
  <c r="T117" i="15"/>
  <c r="S85" i="15"/>
  <c r="T125" i="15"/>
  <c r="W130" i="15"/>
  <c r="S106" i="15"/>
  <c r="W140" i="15"/>
  <c r="V126" i="15"/>
  <c r="V156" i="19"/>
  <c r="V116" i="19"/>
  <c r="V127" i="11"/>
  <c r="V106" i="19"/>
  <c r="G46" i="11"/>
  <c r="V159" i="19"/>
  <c r="W86" i="19"/>
  <c r="V140" i="19"/>
  <c r="V168" i="19"/>
  <c r="V221" i="19"/>
  <c r="V220" i="19"/>
  <c r="W220" i="19"/>
  <c r="W210" i="19"/>
  <c r="V189" i="19"/>
  <c r="V83" i="19"/>
  <c r="W83" i="19"/>
  <c r="V126" i="19"/>
  <c r="V200" i="19"/>
  <c r="W200" i="19"/>
  <c r="V237" i="19"/>
  <c r="W162" i="19"/>
  <c r="G33" i="16"/>
  <c r="G149" i="16"/>
  <c r="F148" i="16"/>
  <c r="F146" i="16"/>
  <c r="S190" i="14"/>
  <c r="T190" i="14"/>
  <c r="F198" i="14"/>
  <c r="S198" i="14"/>
  <c r="T198" i="14"/>
  <c r="S95" i="14"/>
  <c r="T95" i="14"/>
  <c r="U130" i="14"/>
  <c r="U191" i="14"/>
  <c r="V191" i="14"/>
  <c r="U92" i="14"/>
  <c r="U84" i="14"/>
  <c r="S127" i="14"/>
  <c r="T127" i="14"/>
  <c r="G21" i="14"/>
  <c r="U91" i="14"/>
  <c r="U125" i="14"/>
  <c r="V125" i="14"/>
  <c r="G51" i="14"/>
  <c r="U158" i="14"/>
  <c r="U103" i="14"/>
  <c r="U173" i="14"/>
  <c r="V173" i="14"/>
  <c r="W169" i="14"/>
  <c r="U230" i="14"/>
  <c r="V230" i="14"/>
  <c r="U252" i="14"/>
  <c r="G53" i="14"/>
  <c r="G68" i="14"/>
  <c r="U101" i="14"/>
  <c r="G19" i="14"/>
  <c r="U110" i="14"/>
  <c r="V110" i="14"/>
  <c r="G52" i="14"/>
  <c r="U141" i="14"/>
  <c r="U156" i="14"/>
  <c r="U172" i="14"/>
  <c r="U239" i="14"/>
  <c r="U253" i="14"/>
  <c r="V253" i="14"/>
  <c r="W253" i="14"/>
  <c r="F117" i="14"/>
  <c r="S117" i="14"/>
  <c r="T117" i="14"/>
  <c r="G85" i="14"/>
  <c r="T123" i="14"/>
  <c r="W141" i="14"/>
  <c r="W148" i="14"/>
  <c r="W168" i="14"/>
  <c r="U120" i="14"/>
  <c r="U85" i="14"/>
  <c r="G88" i="14"/>
  <c r="W88" i="14"/>
  <c r="G50" i="14"/>
  <c r="G67" i="14"/>
  <c r="U109" i="14"/>
  <c r="U176" i="14"/>
  <c r="V176" i="14"/>
  <c r="W176" i="14"/>
  <c r="G41" i="14"/>
  <c r="U87" i="14"/>
  <c r="U153" i="14"/>
  <c r="V153" i="14"/>
  <c r="G56" i="14"/>
  <c r="U123" i="14"/>
  <c r="W212" i="14"/>
  <c r="U169" i="14"/>
  <c r="V169" i="14"/>
  <c r="U146" i="14"/>
  <c r="U178" i="14"/>
  <c r="U206" i="14"/>
  <c r="U241" i="14"/>
  <c r="U221" i="14"/>
  <c r="U198" i="14"/>
  <c r="U247" i="14"/>
  <c r="G39" i="14"/>
  <c r="U113" i="14"/>
  <c r="G43" i="14"/>
  <c r="G64" i="14"/>
  <c r="V96" i="14"/>
  <c r="W96" i="14"/>
  <c r="V134" i="14"/>
  <c r="T172" i="14"/>
  <c r="W188" i="14"/>
  <c r="U177" i="14"/>
  <c r="V177" i="14"/>
  <c r="W177" i="14"/>
  <c r="G49" i="14"/>
  <c r="U165" i="14"/>
  <c r="G69" i="14"/>
  <c r="G20" i="14"/>
  <c r="U137" i="14"/>
  <c r="U192" i="14"/>
  <c r="U196" i="14"/>
  <c r="U255" i="14"/>
  <c r="U204" i="14"/>
  <c r="U184" i="14"/>
  <c r="U129" i="14"/>
  <c r="G18" i="14"/>
  <c r="U116" i="14"/>
  <c r="V116" i="14"/>
  <c r="G37" i="14"/>
  <c r="U143" i="14"/>
  <c r="G70" i="14"/>
  <c r="U231" i="14"/>
  <c r="U180" i="14"/>
  <c r="U203" i="14"/>
  <c r="U185" i="14"/>
  <c r="V185" i="14"/>
  <c r="W185" i="14"/>
  <c r="U212" i="14"/>
  <c r="V212" i="14"/>
  <c r="W140" i="14"/>
  <c r="G83" i="14"/>
  <c r="W83" i="14"/>
  <c r="W239" i="14"/>
  <c r="G87" i="14"/>
  <c r="W87" i="14"/>
  <c r="D271" i="14"/>
  <c r="T121" i="14"/>
  <c r="T220" i="14"/>
  <c r="S148" i="14"/>
  <c r="W160" i="14"/>
  <c r="U117" i="14"/>
  <c r="T84" i="14"/>
  <c r="T153" i="14"/>
  <c r="G35" i="14"/>
  <c r="G32" i="14"/>
  <c r="G34" i="14"/>
  <c r="G36" i="14"/>
  <c r="G42" i="14"/>
  <c r="U119" i="14"/>
  <c r="V119" i="14"/>
  <c r="G47" i="14"/>
  <c r="U106" i="14"/>
  <c r="U170" i="14"/>
  <c r="V170" i="14"/>
  <c r="G62" i="14"/>
  <c r="W124" i="14"/>
  <c r="U140" i="14"/>
  <c r="U188" i="14"/>
  <c r="U150" i="14"/>
  <c r="U208" i="14"/>
  <c r="U222" i="14"/>
  <c r="U187" i="14"/>
  <c r="U249" i="14"/>
  <c r="G86" i="14"/>
  <c r="V160" i="14"/>
  <c r="V128" i="14"/>
  <c r="G54" i="14"/>
  <c r="G22" i="14"/>
  <c r="V240" i="14"/>
  <c r="W240" i="14"/>
  <c r="F120" i="14"/>
  <c r="S120" i="14"/>
  <c r="T120" i="14"/>
  <c r="V246" i="14"/>
  <c r="W246" i="14"/>
  <c r="U126" i="14"/>
  <c r="U115" i="14"/>
  <c r="U88" i="14"/>
  <c r="V88" i="14"/>
  <c r="U107" i="14"/>
  <c r="G48" i="14"/>
  <c r="U217" i="14"/>
  <c r="U139" i="14"/>
  <c r="U224" i="14"/>
  <c r="U199" i="14"/>
  <c r="U233" i="14"/>
  <c r="U122" i="14"/>
  <c r="V114" i="14"/>
  <c r="W114" i="14"/>
  <c r="U112" i="14"/>
  <c r="U127" i="14"/>
  <c r="V127" i="14"/>
  <c r="W127" i="14"/>
  <c r="G55" i="14"/>
  <c r="U162" i="14"/>
  <c r="U121" i="14"/>
  <c r="V121" i="14"/>
  <c r="W121" i="14"/>
  <c r="U197" i="14"/>
  <c r="U205" i="14"/>
  <c r="U245" i="14"/>
  <c r="T140" i="14"/>
  <c r="S212" i="14"/>
  <c r="D272" i="14"/>
  <c r="U93" i="14"/>
  <c r="U118" i="14"/>
  <c r="U95" i="14"/>
  <c r="V95" i="14"/>
  <c r="W95" i="14"/>
  <c r="G25" i="14"/>
  <c r="U154" i="14"/>
  <c r="G23" i="14"/>
  <c r="G61" i="14"/>
  <c r="U124" i="14"/>
  <c r="V124" i="14"/>
  <c r="U81" i="14"/>
  <c r="U144" i="14"/>
  <c r="U147" i="14"/>
  <c r="U190" i="14"/>
  <c r="V190" i="14"/>
  <c r="W190" i="14"/>
  <c r="U168" i="14"/>
  <c r="V168" i="14"/>
  <c r="W220" i="14"/>
  <c r="U223" i="14"/>
  <c r="U194" i="14"/>
  <c r="U251" i="14"/>
  <c r="U226" i="14"/>
  <c r="W156" i="14"/>
  <c r="W171" i="14"/>
  <c r="W150" i="14"/>
  <c r="F146" i="14"/>
  <c r="T134" i="14"/>
  <c r="V176" i="19"/>
  <c r="W176" i="19"/>
  <c r="W86" i="14"/>
  <c r="V86" i="14"/>
  <c r="S86" i="14"/>
  <c r="V84" i="14"/>
  <c r="T219" i="19"/>
  <c r="W219" i="19"/>
  <c r="T160" i="19"/>
  <c r="F157" i="19"/>
  <c r="V149" i="19"/>
  <c r="W146" i="19"/>
  <c r="V147" i="19"/>
  <c r="S146" i="19"/>
  <c r="S142" i="19"/>
  <c r="W142" i="19"/>
  <c r="W138" i="19"/>
  <c r="S138" i="19"/>
  <c r="V130" i="19"/>
  <c r="S129" i="19"/>
  <c r="W117" i="19"/>
  <c r="W120" i="19"/>
  <c r="V107" i="19"/>
  <c r="W95" i="19"/>
  <c r="F99" i="19"/>
  <c r="S99" i="19"/>
  <c r="T99" i="19"/>
  <c r="V86" i="19"/>
  <c r="T86" i="19"/>
  <c r="F98" i="19"/>
  <c r="S98" i="19"/>
  <c r="T98" i="19"/>
  <c r="W87" i="19"/>
  <c r="V88" i="19"/>
  <c r="T196" i="19"/>
  <c r="S196" i="19"/>
  <c r="T157" i="19"/>
  <c r="S157" i="19"/>
  <c r="F100" i="19"/>
  <c r="W118" i="19"/>
  <c r="V153" i="19"/>
  <c r="T110" i="19"/>
  <c r="W131" i="19"/>
  <c r="S154" i="19"/>
  <c r="W186" i="19"/>
  <c r="S169" i="19"/>
  <c r="W125" i="19"/>
  <c r="W161" i="19"/>
  <c r="S125" i="19"/>
  <c r="T137" i="19"/>
  <c r="F151" i="19"/>
  <c r="T213" i="19"/>
  <c r="S94" i="19"/>
  <c r="T94" i="19"/>
  <c r="T132" i="19"/>
  <c r="F127" i="19"/>
  <c r="F109" i="19"/>
  <c r="T118" i="19"/>
  <c r="V124" i="19"/>
  <c r="V192" i="19"/>
  <c r="V202" i="19"/>
  <c r="S210" i="19"/>
  <c r="V226" i="19"/>
  <c r="W211" i="19"/>
  <c r="S105" i="19"/>
  <c r="W110" i="19"/>
  <c r="V152" i="19"/>
  <c r="V112" i="19"/>
  <c r="S148" i="19"/>
  <c r="V171" i="19"/>
  <c r="W213" i="19"/>
  <c r="T149" i="19"/>
  <c r="T211" i="19"/>
  <c r="V186" i="19"/>
  <c r="W226" i="19"/>
  <c r="T85" i="19"/>
  <c r="V128" i="19"/>
  <c r="T113" i="19"/>
  <c r="W107" i="19"/>
  <c r="F215" i="19"/>
  <c r="F103" i="19"/>
  <c r="S103" i="19"/>
  <c r="T103" i="19"/>
  <c r="W122" i="19"/>
  <c r="T122" i="19"/>
  <c r="T202" i="19"/>
  <c r="F206" i="19"/>
  <c r="S206" i="19"/>
  <c r="T206" i="19"/>
  <c r="F121" i="19"/>
  <c r="W150" i="19"/>
  <c r="S88" i="19"/>
  <c r="F139" i="19"/>
  <c r="S150" i="19"/>
  <c r="S161" i="19"/>
  <c r="W195" i="10"/>
  <c r="G200" i="10"/>
  <c r="W200" i="10"/>
  <c r="T199" i="10"/>
  <c r="S199" i="10"/>
  <c r="V155" i="10"/>
  <c r="W155" i="10"/>
  <c r="S117" i="10"/>
  <c r="T117" i="10"/>
  <c r="S204" i="10"/>
  <c r="V177" i="10"/>
  <c r="W177" i="10"/>
  <c r="S115" i="10"/>
  <c r="T115" i="10"/>
  <c r="V126" i="10"/>
  <c r="W126" i="10"/>
  <c r="S146" i="10"/>
  <c r="T146" i="10"/>
  <c r="T163" i="10"/>
  <c r="S190" i="10"/>
  <c r="T195" i="10"/>
  <c r="V249" i="10"/>
  <c r="W249" i="10"/>
  <c r="V110" i="10"/>
  <c r="W163" i="10"/>
  <c r="T106" i="10"/>
  <c r="S155" i="10"/>
  <c r="F198" i="10"/>
  <c r="S193" i="10"/>
  <c r="T206" i="10"/>
  <c r="W222" i="10"/>
  <c r="S139" i="10"/>
  <c r="S124" i="10"/>
  <c r="T124" i="10"/>
  <c r="S129" i="10"/>
  <c r="T129" i="10"/>
  <c r="W190" i="10"/>
  <c r="T175" i="10"/>
  <c r="S195" i="10"/>
  <c r="F210" i="10"/>
  <c r="S210" i="10"/>
  <c r="V151" i="10"/>
  <c r="W151" i="10"/>
  <c r="V98" i="10"/>
  <c r="V89" i="10"/>
  <c r="W89" i="10"/>
  <c r="V87" i="10"/>
  <c r="W87" i="10"/>
  <c r="G57" i="10"/>
  <c r="V121" i="10"/>
  <c r="W121" i="10"/>
  <c r="T193" i="10"/>
  <c r="W204" i="10"/>
  <c r="T224" i="10"/>
  <c r="W224" i="10"/>
  <c r="V175" i="10"/>
  <c r="F120" i="10"/>
  <c r="S120" i="10"/>
  <c r="S131" i="10"/>
  <c r="T131" i="10"/>
  <c r="T231" i="10"/>
  <c r="V241" i="10"/>
  <c r="W241" i="10"/>
  <c r="F93" i="10"/>
  <c r="V145" i="18"/>
  <c r="S107" i="18"/>
  <c r="T107" i="18"/>
  <c r="S128" i="18"/>
  <c r="T128" i="18"/>
  <c r="T140" i="18"/>
  <c r="V139" i="18"/>
  <c r="W109" i="18"/>
  <c r="T153" i="18"/>
  <c r="S216" i="18"/>
  <c r="T216" i="18"/>
  <c r="S186" i="18"/>
  <c r="T186" i="18"/>
  <c r="S207" i="18"/>
  <c r="T207" i="18"/>
  <c r="V161" i="18"/>
  <c r="S174" i="18"/>
  <c r="T174" i="18"/>
  <c r="T148" i="18"/>
  <c r="V196" i="18"/>
  <c r="T180" i="18"/>
  <c r="V127" i="18"/>
  <c r="W127" i="18"/>
  <c r="S209" i="18"/>
  <c r="T209" i="18"/>
  <c r="T118" i="18"/>
  <c r="T108" i="18"/>
  <c r="S196" i="18"/>
  <c r="V138" i="18"/>
  <c r="S83" i="18"/>
  <c r="T83" i="18"/>
  <c r="S140" i="18"/>
  <c r="W176" i="18"/>
  <c r="V192" i="18"/>
  <c r="W192" i="18"/>
  <c r="V122" i="18"/>
  <c r="W122" i="18"/>
  <c r="S164" i="18"/>
  <c r="T164" i="18"/>
  <c r="S171" i="18"/>
  <c r="T171" i="18"/>
  <c r="V125" i="18"/>
  <c r="W125" i="18"/>
  <c r="V204" i="18"/>
  <c r="S140" i="11"/>
  <c r="F137" i="11"/>
  <c r="W140" i="11"/>
  <c r="T119" i="11"/>
  <c r="F113" i="11"/>
  <c r="S113" i="11"/>
  <c r="T113" i="11"/>
  <c r="V113" i="11"/>
  <c r="W113" i="11"/>
  <c r="T117" i="11"/>
  <c r="F102" i="11"/>
  <c r="G91" i="11"/>
  <c r="W91" i="11"/>
  <c r="G88" i="11"/>
  <c r="W88" i="11"/>
  <c r="S89" i="11"/>
  <c r="T88" i="11"/>
  <c r="S169" i="10"/>
  <c r="V169" i="10"/>
  <c r="T169" i="10"/>
  <c r="F158" i="10"/>
  <c r="W113" i="10"/>
  <c r="T112" i="10"/>
  <c r="T111" i="10"/>
  <c r="V109" i="10"/>
  <c r="W110" i="10"/>
  <c r="F108" i="10"/>
  <c r="S111" i="10"/>
  <c r="T109" i="10"/>
  <c r="T113" i="10"/>
  <c r="S109" i="10"/>
  <c r="W106" i="10"/>
  <c r="W101" i="10"/>
  <c r="T245" i="10"/>
  <c r="V192" i="10"/>
  <c r="G198" i="10"/>
  <c r="V198" i="10"/>
  <c r="W198" i="10"/>
  <c r="S198" i="10"/>
  <c r="T198" i="10"/>
  <c r="F200" i="10"/>
  <c r="W186" i="10"/>
  <c r="W223" i="10"/>
  <c r="F234" i="10"/>
  <c r="S186" i="10"/>
  <c r="T178" i="10"/>
  <c r="T147" i="10"/>
  <c r="S232" i="10"/>
  <c r="V230" i="10"/>
  <c r="W196" i="10"/>
  <c r="V120" i="10"/>
  <c r="V194" i="10"/>
  <c r="S156" i="10"/>
  <c r="V178" i="10"/>
  <c r="W178" i="10"/>
  <c r="F201" i="10"/>
  <c r="S201" i="10"/>
  <c r="T201" i="10"/>
  <c r="T196" i="10"/>
  <c r="T230" i="10"/>
  <c r="S154" i="10"/>
  <c r="T192" i="10"/>
  <c r="T83" i="10"/>
  <c r="S93" i="10"/>
  <c r="T93" i="10"/>
  <c r="S194" i="10"/>
  <c r="S223" i="10"/>
  <c r="S196" i="10"/>
  <c r="T154" i="10"/>
  <c r="T207" i="10"/>
  <c r="F253" i="10"/>
  <c r="S253" i="10"/>
  <c r="V127" i="10"/>
  <c r="W127" i="10"/>
  <c r="W116" i="10"/>
  <c r="V113" i="10"/>
  <c r="V88" i="10"/>
  <c r="W88" i="10"/>
  <c r="W226" i="10"/>
  <c r="V162" i="10"/>
  <c r="V154" i="10"/>
  <c r="V204" i="10"/>
  <c r="V195" i="10"/>
  <c r="V193" i="10"/>
  <c r="V190" i="10"/>
  <c r="S97" i="10"/>
  <c r="G92" i="10"/>
  <c r="V92" i="10"/>
  <c r="W92" i="10"/>
  <c r="W217" i="10"/>
  <c r="V217" i="10"/>
  <c r="V147" i="10"/>
  <c r="W147" i="10"/>
  <c r="S116" i="10"/>
  <c r="T116" i="10"/>
  <c r="V222" i="10"/>
  <c r="F128" i="10"/>
  <c r="S128" i="10"/>
  <c r="T128" i="10"/>
  <c r="F102" i="10"/>
  <c r="S102" i="10"/>
  <c r="T102" i="10"/>
  <c r="T217" i="10"/>
  <c r="V130" i="10"/>
  <c r="W130" i="10"/>
  <c r="S153" i="10"/>
  <c r="T153" i="10"/>
  <c r="S103" i="10"/>
  <c r="T103" i="10"/>
  <c r="T165" i="10"/>
  <c r="W120" i="10"/>
  <c r="V114" i="10"/>
  <c r="F145" i="10"/>
  <c r="F152" i="10"/>
  <c r="S152" i="10"/>
  <c r="T152" i="10"/>
  <c r="V150" i="10"/>
  <c r="W150" i="10"/>
  <c r="F219" i="10"/>
  <c r="F227" i="10"/>
  <c r="S118" i="10"/>
  <c r="T118" i="10"/>
  <c r="T176" i="10"/>
  <c r="F182" i="10"/>
  <c r="S182" i="10"/>
  <c r="S135" i="10"/>
  <c r="T159" i="10"/>
  <c r="S165" i="10"/>
  <c r="V206" i="10"/>
  <c r="T215" i="10"/>
  <c r="S226" i="10"/>
  <c r="T226" i="10"/>
  <c r="S174" i="10"/>
  <c r="T139" i="10"/>
  <c r="T99" i="10"/>
  <c r="F114" i="10"/>
  <c r="S114" i="10"/>
  <c r="T114" i="10"/>
  <c r="S107" i="10"/>
  <c r="S149" i="11"/>
  <c r="T149" i="11"/>
  <c r="V116" i="11"/>
  <c r="V157" i="11"/>
  <c r="V216" i="11"/>
  <c r="S159" i="11"/>
  <c r="S91" i="11"/>
  <c r="T85" i="11"/>
  <c r="F125" i="11"/>
  <c r="S177" i="11"/>
  <c r="W226" i="11"/>
  <c r="T231" i="11"/>
  <c r="G231" i="11"/>
  <c r="W231" i="11"/>
  <c r="F235" i="11"/>
  <c r="G233" i="11"/>
  <c r="W232" i="10"/>
  <c r="V232" i="10"/>
  <c r="S219" i="17"/>
  <c r="T219" i="17"/>
  <c r="V136" i="19"/>
  <c r="W136" i="19"/>
  <c r="V202" i="12"/>
  <c r="W202" i="12"/>
  <c r="W136" i="11"/>
  <c r="V136" i="11"/>
  <c r="W85" i="11"/>
  <c r="V85" i="11"/>
  <c r="W223" i="11"/>
  <c r="S158" i="13"/>
  <c r="G158" i="13"/>
  <c r="T158" i="13"/>
  <c r="T205" i="13"/>
  <c r="G205" i="13"/>
  <c r="S184" i="14"/>
  <c r="T184" i="14"/>
  <c r="G196" i="14"/>
  <c r="V196" i="14"/>
  <c r="S159" i="15"/>
  <c r="T159" i="15"/>
  <c r="F164" i="15"/>
  <c r="G148" i="13"/>
  <c r="G97" i="13"/>
  <c r="V97" i="13"/>
  <c r="W97" i="13"/>
  <c r="W147" i="14"/>
  <c r="V221" i="14"/>
  <c r="W221" i="14"/>
  <c r="W206" i="10"/>
  <c r="V173" i="11"/>
  <c r="W173" i="11"/>
  <c r="W162" i="15"/>
  <c r="V162" i="15"/>
  <c r="W133" i="15"/>
  <c r="T127" i="12"/>
  <c r="V153" i="12"/>
  <c r="W153" i="12"/>
  <c r="G151" i="12"/>
  <c r="W138" i="10"/>
  <c r="W146" i="10"/>
  <c r="V103" i="19"/>
  <c r="W103" i="19"/>
  <c r="V105" i="19"/>
  <c r="W105" i="19"/>
  <c r="W135" i="19"/>
  <c r="V133" i="19"/>
  <c r="W133" i="19"/>
  <c r="V132" i="17"/>
  <c r="W132" i="17"/>
  <c r="W186" i="17"/>
  <c r="V186" i="17"/>
  <c r="W195" i="11"/>
  <c r="G201" i="11"/>
  <c r="V195" i="11"/>
  <c r="V108" i="15"/>
  <c r="W108" i="15"/>
  <c r="V196" i="17"/>
  <c r="W196" i="17"/>
  <c r="W129" i="11"/>
  <c r="V129" i="11"/>
  <c r="V120" i="13"/>
  <c r="W120" i="13"/>
  <c r="T110" i="13"/>
  <c r="S110" i="13"/>
  <c r="G178" i="13"/>
  <c r="S178" i="13"/>
  <c r="T178" i="13"/>
  <c r="T156" i="14"/>
  <c r="S156" i="14"/>
  <c r="V130" i="15"/>
  <c r="F152" i="15"/>
  <c r="F155" i="15"/>
  <c r="V83" i="13"/>
  <c r="V95" i="13"/>
  <c r="W134" i="14"/>
  <c r="T83" i="13"/>
  <c r="T251" i="14"/>
  <c r="F199" i="14"/>
  <c r="S199" i="14"/>
  <c r="V156" i="10"/>
  <c r="S104" i="11"/>
  <c r="T104" i="11"/>
  <c r="W115" i="11"/>
  <c r="V115" i="11"/>
  <c r="V139" i="11"/>
  <c r="W170" i="19"/>
  <c r="V170" i="19"/>
  <c r="W134" i="18"/>
  <c r="V134" i="18"/>
  <c r="W146" i="18"/>
  <c r="V146" i="18"/>
  <c r="W127" i="13"/>
  <c r="V127" i="13"/>
  <c r="F189" i="13"/>
  <c r="V137" i="12"/>
  <c r="W137" i="12"/>
  <c r="V154" i="11"/>
  <c r="W154" i="11"/>
  <c r="W190" i="19"/>
  <c r="V135" i="18"/>
  <c r="W135" i="18"/>
  <c r="V87" i="14"/>
  <c r="W112" i="4"/>
  <c r="V112" i="4"/>
  <c r="V111" i="10"/>
  <c r="W111" i="10"/>
  <c r="W84" i="15"/>
  <c r="G96" i="15"/>
  <c r="W151" i="11"/>
  <c r="V151" i="11"/>
  <c r="G176" i="12"/>
  <c r="V176" i="12"/>
  <c r="W176" i="12"/>
  <c r="W167" i="12"/>
  <c r="G61" i="11"/>
  <c r="G77" i="11"/>
  <c r="G208" i="12"/>
  <c r="T208" i="12"/>
  <c r="S208" i="12"/>
  <c r="S217" i="12"/>
  <c r="T217" i="12"/>
  <c r="V244" i="12"/>
  <c r="W244" i="12"/>
  <c r="T139" i="14"/>
  <c r="W139" i="14"/>
  <c r="S112" i="15"/>
  <c r="T127" i="15"/>
  <c r="F136" i="15"/>
  <c r="V134" i="15"/>
  <c r="W134" i="15"/>
  <c r="W102" i="13"/>
  <c r="V194" i="12"/>
  <c r="W194" i="12"/>
  <c r="V92" i="12"/>
  <c r="W92" i="12"/>
  <c r="V130" i="14"/>
  <c r="W130" i="14"/>
  <c r="V172" i="14"/>
  <c r="W172" i="14"/>
  <c r="W114" i="19"/>
  <c r="V114" i="19"/>
  <c r="F196" i="14"/>
  <c r="S205" i="13"/>
  <c r="W142" i="11"/>
  <c r="V142" i="11"/>
  <c r="V117" i="19"/>
  <c r="V165" i="13"/>
  <c r="V196" i="15"/>
  <c r="W196" i="15"/>
  <c r="V158" i="11"/>
  <c r="W180" i="13"/>
  <c r="V180" i="13"/>
  <c r="S181" i="18"/>
  <c r="T181" i="18"/>
  <c r="V90" i="18"/>
  <c r="W90" i="18"/>
  <c r="V214" i="10"/>
  <c r="W214" i="10"/>
  <c r="T235" i="11"/>
  <c r="S235" i="11"/>
  <c r="W101" i="4"/>
  <c r="V101" i="4"/>
  <c r="F91" i="10"/>
  <c r="T164" i="11"/>
  <c r="S164" i="11"/>
  <c r="G164" i="11"/>
  <c r="S187" i="11"/>
  <c r="T187" i="11"/>
  <c r="F199" i="11"/>
  <c r="T209" i="11"/>
  <c r="S209" i="11"/>
  <c r="S241" i="11"/>
  <c r="T241" i="11"/>
  <c r="S110" i="12"/>
  <c r="T110" i="12"/>
  <c r="T210" i="10"/>
  <c r="G57" i="19"/>
  <c r="W97" i="17"/>
  <c r="W154" i="12"/>
  <c r="V154" i="12"/>
  <c r="V169" i="15"/>
  <c r="W169" i="15"/>
  <c r="V148" i="4"/>
  <c r="W148" i="4"/>
  <c r="Z115" i="4"/>
  <c r="Y115" i="4"/>
  <c r="V83" i="10"/>
  <c r="W83" i="10"/>
  <c r="V223" i="11"/>
  <c r="T168" i="10"/>
  <c r="W168" i="10"/>
  <c r="F164" i="10"/>
  <c r="T166" i="10"/>
  <c r="S166" i="10"/>
  <c r="S100" i="10"/>
  <c r="F96" i="10"/>
  <c r="T100" i="10"/>
  <c r="W119" i="12"/>
  <c r="V134" i="17"/>
  <c r="W134" i="17"/>
  <c r="V171" i="17"/>
  <c r="W171" i="17"/>
  <c r="V168" i="17"/>
  <c r="W168" i="17"/>
  <c r="W152" i="12"/>
  <c r="V152" i="12"/>
  <c r="F92" i="10"/>
  <c r="F202" i="11"/>
  <c r="V194" i="11"/>
  <c r="S214" i="10"/>
  <c r="T214" i="10"/>
  <c r="G71" i="19"/>
  <c r="W94" i="12"/>
  <c r="V117" i="12"/>
  <c r="W117" i="12"/>
  <c r="S205" i="10"/>
  <c r="S138" i="10"/>
  <c r="T138" i="10"/>
  <c r="S104" i="10"/>
  <c r="T124" i="11"/>
  <c r="V115" i="14"/>
  <c r="W115" i="14"/>
  <c r="W141" i="19"/>
  <c r="W236" i="19"/>
  <c r="W178" i="18"/>
  <c r="V126" i="12"/>
  <c r="V170" i="12"/>
  <c r="V148" i="14"/>
  <c r="V140" i="14"/>
  <c r="V188" i="14"/>
  <c r="V206" i="14"/>
  <c r="W206" i="14"/>
  <c r="W126" i="15"/>
  <c r="Y131" i="4"/>
  <c r="Y143" i="4"/>
  <c r="Z143" i="4"/>
  <c r="Z145" i="4"/>
  <c r="Y145" i="4"/>
  <c r="V247" i="10"/>
  <c r="W247" i="10"/>
  <c r="S247" i="10"/>
  <c r="T247" i="10"/>
  <c r="S167" i="10"/>
  <c r="T167" i="10"/>
  <c r="S157" i="10"/>
  <c r="T157" i="10"/>
  <c r="F103" i="11"/>
  <c r="S153" i="11"/>
  <c r="T153" i="11"/>
  <c r="S224" i="11"/>
  <c r="T224" i="11"/>
  <c r="S162" i="12"/>
  <c r="T162" i="12"/>
  <c r="S185" i="13"/>
  <c r="G185" i="13"/>
  <c r="S206" i="13"/>
  <c r="G206" i="13"/>
  <c r="S201" i="11"/>
  <c r="V138" i="11"/>
  <c r="V126" i="11"/>
  <c r="J91" i="4"/>
  <c r="W91" i="4"/>
  <c r="Z94" i="4"/>
  <c r="Y94" i="4"/>
  <c r="S161" i="10"/>
  <c r="V131" i="10"/>
  <c r="W131" i="10"/>
  <c r="S105" i="10"/>
  <c r="G28" i="10"/>
  <c r="T194" i="11"/>
  <c r="S194" i="11"/>
  <c r="F192" i="12"/>
  <c r="S177" i="15"/>
  <c r="T177" i="15"/>
  <c r="S181" i="15"/>
  <c r="T181" i="15" s="1"/>
  <c r="W138" i="18"/>
  <c r="S168" i="18"/>
  <c r="F182" i="18"/>
  <c r="S214" i="18"/>
  <c r="T214" i="18"/>
  <c r="S222" i="18"/>
  <c r="T222" i="18"/>
  <c r="S224" i="18"/>
  <c r="T224" i="18"/>
  <c r="S241" i="10"/>
  <c r="T241" i="10"/>
  <c r="V165" i="10"/>
  <c r="G42" i="10"/>
  <c r="S87" i="11"/>
  <c r="T126" i="11"/>
  <c r="T127" i="11"/>
  <c r="T138" i="11"/>
  <c r="G188" i="11"/>
  <c r="T197" i="11"/>
  <c r="S176" i="12"/>
  <c r="T176" i="12"/>
  <c r="S198" i="12"/>
  <c r="T198" i="12"/>
  <c r="F73" i="14"/>
  <c r="V203" i="14"/>
  <c r="W203" i="14"/>
  <c r="T251" i="17"/>
  <c r="S227" i="18"/>
  <c r="T227" i="18"/>
  <c r="S91" i="19"/>
  <c r="T91" i="19"/>
  <c r="I73" i="4"/>
  <c r="Y142" i="4"/>
  <c r="V246" i="10"/>
  <c r="W246" i="10"/>
  <c r="V139" i="10"/>
  <c r="W139" i="10"/>
  <c r="T135" i="10"/>
  <c r="G71" i="10"/>
  <c r="F73" i="10"/>
  <c r="F77" i="11"/>
  <c r="F143" i="11"/>
  <c r="T84" i="13"/>
  <c r="V154" i="14"/>
  <c r="G194" i="14"/>
  <c r="V194" i="14"/>
  <c r="V215" i="14"/>
  <c r="T252" i="14"/>
  <c r="F73" i="15"/>
  <c r="G71" i="15"/>
  <c r="S230" i="19"/>
  <c r="T230" i="19"/>
  <c r="S119" i="18"/>
  <c r="T119" i="18"/>
  <c r="S178" i="18"/>
  <c r="T178" i="18"/>
  <c r="S223" i="18"/>
  <c r="T223" i="18"/>
  <c r="F73" i="19"/>
  <c r="T96" i="19"/>
  <c r="S96" i="19"/>
  <c r="S167" i="19"/>
  <c r="T218" i="19"/>
  <c r="S218" i="19"/>
  <c r="V85" i="13"/>
  <c r="V240" i="13"/>
  <c r="W240" i="13"/>
  <c r="F103" i="14"/>
  <c r="S103" i="14"/>
  <c r="T103" i="14"/>
  <c r="F137" i="14"/>
  <c r="T137" i="14"/>
  <c r="W155" i="14"/>
  <c r="G42" i="15"/>
  <c r="T168" i="18"/>
  <c r="S94" i="18"/>
  <c r="T94" i="18"/>
  <c r="T115" i="18"/>
  <c r="W226" i="18"/>
  <c r="S228" i="18"/>
  <c r="T228" i="18"/>
  <c r="S93" i="19"/>
  <c r="T93" i="19"/>
  <c r="V93" i="19"/>
  <c r="W93" i="19"/>
  <c r="T185" i="19"/>
  <c r="F195" i="19"/>
  <c r="F197" i="19"/>
  <c r="T201" i="19"/>
  <c r="S201" i="19"/>
  <c r="T212" i="19"/>
  <c r="S212" i="19"/>
  <c r="F218" i="17"/>
  <c r="W133" i="18"/>
  <c r="S124" i="18"/>
  <c r="T124" i="18"/>
  <c r="V131" i="19"/>
  <c r="T168" i="19"/>
  <c r="T176" i="19"/>
  <c r="S238" i="19"/>
  <c r="V123" i="18"/>
  <c r="W123" i="18"/>
  <c r="V175" i="19"/>
  <c r="W175" i="19"/>
  <c r="V203" i="19"/>
  <c r="W203" i="19"/>
  <c r="V188" i="18"/>
  <c r="W188" i="18"/>
  <c r="T83" i="19"/>
  <c r="T162" i="19"/>
  <c r="V146" i="15"/>
  <c r="W146" i="15"/>
  <c r="G20" i="16"/>
  <c r="G41" i="16"/>
  <c r="V267" i="17"/>
  <c r="W267" i="17"/>
  <c r="V155" i="19"/>
  <c r="F145" i="19"/>
  <c r="F255" i="14"/>
  <c r="S255" i="14"/>
  <c r="T255" i="14"/>
  <c r="S112" i="14"/>
  <c r="T112" i="14"/>
  <c r="T159" i="14"/>
  <c r="W159" i="14"/>
  <c r="F158" i="14"/>
  <c r="T158" i="14"/>
  <c r="V112" i="14"/>
  <c r="W112" i="14"/>
  <c r="V249" i="14"/>
  <c r="W249" i="14"/>
  <c r="S245" i="14"/>
  <c r="T245" i="14"/>
  <c r="S205" i="14"/>
  <c r="T205" i="14"/>
  <c r="F111" i="14"/>
  <c r="S111" i="14"/>
  <c r="T111" i="14"/>
  <c r="V108" i="14"/>
  <c r="W108" i="14"/>
  <c r="S96" i="14"/>
  <c r="T96" i="14"/>
  <c r="S93" i="14"/>
  <c r="T93" i="14"/>
  <c r="V122" i="14"/>
  <c r="W122" i="14"/>
  <c r="W229" i="14"/>
  <c r="V85" i="14"/>
  <c r="W85" i="14"/>
  <c r="V202" i="14"/>
  <c r="W202" i="14"/>
  <c r="V93" i="14"/>
  <c r="W93" i="14"/>
  <c r="T199" i="14"/>
  <c r="V109" i="14"/>
  <c r="W109" i="14"/>
  <c r="W123" i="14"/>
  <c r="V123" i="14"/>
  <c r="G101" i="14"/>
  <c r="V101" i="14"/>
  <c r="V83" i="14"/>
  <c r="V118" i="14"/>
  <c r="W118" i="14"/>
  <c r="W154" i="14"/>
  <c r="W152" i="14"/>
  <c r="W215" i="14"/>
  <c r="V180" i="14"/>
  <c r="W180" i="14"/>
  <c r="V156" i="14"/>
  <c r="W214" i="14"/>
  <c r="V214" i="14"/>
  <c r="V171" i="14"/>
  <c r="V178" i="14"/>
  <c r="W178" i="14"/>
  <c r="V129" i="14"/>
  <c r="W129" i="14"/>
  <c r="S115" i="14"/>
  <c r="T115" i="14"/>
  <c r="F106" i="14"/>
  <c r="F180" i="14"/>
  <c r="F101" i="14"/>
  <c r="F233" i="14"/>
  <c r="T91" i="14"/>
  <c r="F152" i="14"/>
  <c r="S154" i="14"/>
  <c r="F217" i="14"/>
  <c r="S217" i="14"/>
  <c r="T224" i="14"/>
  <c r="S203" i="14"/>
  <c r="T203" i="14"/>
  <c r="S171" i="14"/>
  <c r="S129" i="14"/>
  <c r="T129" i="14"/>
  <c r="T138" i="14"/>
  <c r="V81" i="14"/>
  <c r="T155" i="14"/>
  <c r="S194" i="14"/>
  <c r="S214" i="14"/>
  <c r="F126" i="14"/>
  <c r="S126" i="14"/>
  <c r="T126" i="14"/>
  <c r="T94" i="14"/>
  <c r="F102" i="14"/>
  <c r="W233" i="14"/>
  <c r="T154" i="14"/>
  <c r="S215" i="14"/>
  <c r="T215" i="14"/>
  <c r="T171" i="14"/>
  <c r="F197" i="14"/>
  <c r="S197" i="14"/>
  <c r="T197" i="14"/>
  <c r="V107" i="14"/>
  <c r="V193" i="14"/>
  <c r="W193" i="14"/>
  <c r="S162" i="14"/>
  <c r="S173" i="14"/>
  <c r="T178" i="14"/>
  <c r="F226" i="14"/>
  <c r="S226" i="14"/>
  <c r="T226" i="14"/>
  <c r="S85" i="14"/>
  <c r="S144" i="14"/>
  <c r="T144" i="14"/>
  <c r="F208" i="14"/>
  <c r="S208" i="14"/>
  <c r="T208" i="14"/>
  <c r="S149" i="14"/>
  <c r="T107" i="14"/>
  <c r="S213" i="14"/>
  <c r="V100" i="12"/>
  <c r="W100" i="12"/>
  <c r="V195" i="12"/>
  <c r="W195" i="12" s="1"/>
  <c r="W196" i="14"/>
  <c r="W247" i="13"/>
  <c r="W234" i="13"/>
  <c r="W235" i="12"/>
  <c r="V239" i="14"/>
  <c r="S137" i="14"/>
  <c r="V104" i="18"/>
  <c r="W104" i="18"/>
  <c r="Z160" i="4"/>
  <c r="Y160" i="4"/>
  <c r="V115" i="15"/>
  <c r="W115" i="15"/>
  <c r="W139" i="11"/>
  <c r="W248" i="12"/>
  <c r="W120" i="12"/>
  <c r="Y117" i="4"/>
  <c r="W172" i="4"/>
  <c r="W82" i="4"/>
  <c r="V82" i="4"/>
  <c r="T182" i="10"/>
  <c r="I190" i="4"/>
  <c r="I193" i="4"/>
  <c r="I195" i="4"/>
  <c r="I197" i="4"/>
  <c r="I199" i="4"/>
  <c r="J86" i="4"/>
  <c r="W86" i="4"/>
  <c r="V86" i="4"/>
  <c r="J95" i="4"/>
  <c r="W117" i="4"/>
  <c r="V117" i="4"/>
  <c r="J134" i="4"/>
  <c r="W136" i="4"/>
  <c r="W155" i="4"/>
  <c r="V155" i="4"/>
  <c r="W168" i="4"/>
  <c r="V168" i="4"/>
  <c r="W180" i="4"/>
  <c r="V120" i="4"/>
  <c r="V85" i="4"/>
  <c r="W161" i="4"/>
  <c r="Y135" i="4"/>
  <c r="V125" i="10"/>
  <c r="W125" i="10"/>
  <c r="V103" i="10"/>
  <c r="W103" i="10"/>
  <c r="V110" i="11"/>
  <c r="T157" i="17"/>
  <c r="W110" i="18"/>
  <c r="W161" i="18"/>
  <c r="Y152" i="4"/>
  <c r="V102" i="4"/>
  <c r="W102" i="4"/>
  <c r="V86" i="10"/>
  <c r="W86" i="10"/>
  <c r="J83" i="4"/>
  <c r="W83" i="4"/>
  <c r="J116" i="4"/>
  <c r="W134" i="4"/>
  <c r="W153" i="4"/>
  <c r="J161" i="4"/>
  <c r="Z161" i="4"/>
  <c r="J163" i="4"/>
  <c r="Z163" i="4"/>
  <c r="W184" i="4"/>
  <c r="V184" i="4"/>
  <c r="V153" i="4"/>
  <c r="V116" i="4"/>
  <c r="Y118" i="4"/>
  <c r="Y85" i="4"/>
  <c r="W144" i="11"/>
  <c r="V122" i="19"/>
  <c r="W152" i="19"/>
  <c r="S127" i="17"/>
  <c r="T120" i="10"/>
  <c r="T153" i="15"/>
  <c r="W126" i="4"/>
  <c r="J87" i="4"/>
  <c r="V87" i="4"/>
  <c r="J120" i="4"/>
  <c r="Z120" i="4"/>
  <c r="W127" i="4"/>
  <c r="J127" i="4"/>
  <c r="Y168" i="4"/>
  <c r="Y133" i="4"/>
  <c r="Y96" i="4"/>
  <c r="Y92" i="4"/>
  <c r="V208" i="10"/>
  <c r="W208" i="10"/>
  <c r="W145" i="11"/>
  <c r="T106" i="17"/>
  <c r="V135" i="19"/>
  <c r="V223" i="14"/>
  <c r="W223" i="14"/>
  <c r="W157" i="4"/>
  <c r="V157" i="4"/>
  <c r="J88" i="4"/>
  <c r="W88" i="4"/>
  <c r="J93" i="4"/>
  <c r="V93" i="4"/>
  <c r="J137" i="4"/>
  <c r="V137" i="4"/>
  <c r="V160" i="4"/>
  <c r="W160" i="4"/>
  <c r="Y120" i="4"/>
  <c r="V101" i="10"/>
  <c r="S163" i="10"/>
  <c r="V159" i="10"/>
  <c r="T148" i="10"/>
  <c r="T141" i="10"/>
  <c r="S123" i="11"/>
  <c r="T155" i="11"/>
  <c r="S161" i="11"/>
  <c r="T195" i="11"/>
  <c r="S195" i="11"/>
  <c r="F211" i="11"/>
  <c r="V180" i="12"/>
  <c r="T115" i="13"/>
  <c r="S115" i="13"/>
  <c r="V119" i="13"/>
  <c r="W119" i="13"/>
  <c r="S164" i="13"/>
  <c r="T141" i="15"/>
  <c r="S141" i="15"/>
  <c r="S249" i="10"/>
  <c r="T249" i="10"/>
  <c r="S83" i="10"/>
  <c r="G159" i="11"/>
  <c r="G146" i="11"/>
  <c r="T148" i="11"/>
  <c r="T151" i="11"/>
  <c r="S166" i="11"/>
  <c r="T225" i="11"/>
  <c r="S91" i="12"/>
  <c r="T91" i="12"/>
  <c r="S120" i="12"/>
  <c r="T120" i="12"/>
  <c r="S137" i="12"/>
  <c r="T137" i="12"/>
  <c r="V142" i="12"/>
  <c r="V160" i="12"/>
  <c r="V174" i="12"/>
  <c r="W174" i="12"/>
  <c r="F73" i="13"/>
  <c r="V141" i="15"/>
  <c r="G161" i="11"/>
  <c r="F183" i="11"/>
  <c r="S83" i="12"/>
  <c r="T83" i="12"/>
  <c r="V118" i="12"/>
  <c r="W118" i="12"/>
  <c r="T140" i="12"/>
  <c r="T189" i="12"/>
  <c r="T114" i="13"/>
  <c r="S114" i="13"/>
  <c r="T116" i="13"/>
  <c r="S116" i="13"/>
  <c r="T169" i="13"/>
  <c r="G169" i="13"/>
  <c r="V169" i="13"/>
  <c r="S105" i="15"/>
  <c r="T105" i="15"/>
  <c r="S147" i="15"/>
  <c r="T147" i="15"/>
  <c r="T188" i="11"/>
  <c r="S188" i="11"/>
  <c r="S243" i="11"/>
  <c r="T243" i="11"/>
  <c r="V123" i="12"/>
  <c r="V143" i="12"/>
  <c r="V167" i="12"/>
  <c r="S234" i="12"/>
  <c r="T234" i="12"/>
  <c r="V96" i="13"/>
  <c r="V107" i="13"/>
  <c r="V140" i="13"/>
  <c r="W140" i="13"/>
  <c r="S103" i="15"/>
  <c r="T103" i="15"/>
  <c r="T112" i="15"/>
  <c r="V201" i="15"/>
  <c r="S201" i="15"/>
  <c r="T201" i="15"/>
  <c r="G126" i="16"/>
  <c r="G130" i="16"/>
  <c r="T232" i="11"/>
  <c r="F253" i="11"/>
  <c r="T131" i="13"/>
  <c r="T137" i="13"/>
  <c r="T135" i="14"/>
  <c r="T160" i="14"/>
  <c r="T230" i="14"/>
  <c r="W104" i="15"/>
  <c r="F110" i="15"/>
  <c r="S204" i="15"/>
  <c r="T204" i="15"/>
  <c r="G182" i="16"/>
  <c r="T247" i="14"/>
  <c r="G28" i="15"/>
  <c r="G73" i="15"/>
  <c r="S104" i="15"/>
  <c r="T104" i="15"/>
  <c r="S116" i="15"/>
  <c r="T116" i="15"/>
  <c r="S200" i="15"/>
  <c r="T200" i="15"/>
  <c r="G60" i="16"/>
  <c r="G62" i="16"/>
  <c r="T149" i="15"/>
  <c r="V150" i="15"/>
  <c r="S150" i="15"/>
  <c r="T150" i="15"/>
  <c r="V200" i="15"/>
  <c r="F208" i="15"/>
  <c r="S206" i="15"/>
  <c r="T206" i="15"/>
  <c r="V206" i="15"/>
  <c r="S186" i="15"/>
  <c r="V263" i="17"/>
  <c r="W263" i="17"/>
  <c r="T101" i="18"/>
  <c r="T160" i="15"/>
  <c r="G152" i="16"/>
  <c r="G158" i="16"/>
  <c r="G162" i="16"/>
  <c r="G167" i="16"/>
  <c r="V83" i="17"/>
  <c r="V85" i="18"/>
  <c r="S85" i="18"/>
  <c r="T85" i="18"/>
  <c r="S92" i="18"/>
  <c r="T92" i="18"/>
  <c r="V88" i="17"/>
  <c r="S99" i="18"/>
  <c r="T99" i="18"/>
  <c r="V105" i="18"/>
  <c r="W105" i="18"/>
  <c r="T83" i="17"/>
  <c r="V104" i="19"/>
  <c r="W104" i="19"/>
  <c r="V160" i="19"/>
  <c r="S81" i="18"/>
  <c r="T81" i="18"/>
  <c r="V84" i="18"/>
  <c r="W84" i="18"/>
  <c r="S91" i="18"/>
  <c r="T91" i="18"/>
  <c r="V84" i="17"/>
  <c r="W84" i="17"/>
  <c r="V148" i="17"/>
  <c r="W148" i="17"/>
  <c r="T226" i="17"/>
  <c r="V233" i="17"/>
  <c r="S243" i="17"/>
  <c r="T243" i="17"/>
  <c r="W213" i="18"/>
  <c r="W246" i="19"/>
  <c r="V126" i="18"/>
  <c r="W126" i="18"/>
  <c r="S172" i="19"/>
  <c r="T172" i="19"/>
  <c r="T188" i="19"/>
  <c r="S188" i="19"/>
  <c r="S192" i="19"/>
  <c r="T192" i="19"/>
  <c r="F248" i="19"/>
  <c r="S236" i="19"/>
  <c r="T236" i="19"/>
  <c r="T158" i="17"/>
  <c r="T169" i="17"/>
  <c r="V114" i="18"/>
  <c r="S127" i="18"/>
  <c r="T127" i="18"/>
  <c r="S142" i="18"/>
  <c r="V155" i="18"/>
  <c r="V172" i="18"/>
  <c r="W172" i="18"/>
  <c r="V207" i="18"/>
  <c r="W207" i="18"/>
  <c r="V212" i="18"/>
  <c r="W212" i="18"/>
  <c r="T196" i="15"/>
  <c r="V240" i="17"/>
  <c r="W240" i="17"/>
  <c r="T129" i="18"/>
  <c r="V130" i="18"/>
  <c r="S130" i="18"/>
  <c r="T130" i="18"/>
  <c r="V136" i="18"/>
  <c r="V144" i="18"/>
  <c r="S161" i="18"/>
  <c r="T161" i="18"/>
  <c r="V171" i="18"/>
  <c r="W171" i="18"/>
  <c r="V206" i="18"/>
  <c r="W206" i="18"/>
  <c r="S108" i="19"/>
  <c r="T108" i="19"/>
  <c r="S135" i="19"/>
  <c r="F133" i="19"/>
  <c r="S158" i="19"/>
  <c r="T158" i="19"/>
  <c r="V124" i="17"/>
  <c r="S197" i="17"/>
  <c r="T197" i="17"/>
  <c r="T224" i="17"/>
  <c r="S251" i="17"/>
  <c r="V120" i="18"/>
  <c r="W120" i="18"/>
  <c r="S172" i="18"/>
  <c r="T172" i="18"/>
  <c r="S176" i="18"/>
  <c r="T176" i="18"/>
  <c r="V198" i="18"/>
  <c r="W198" i="18"/>
  <c r="T159" i="19"/>
  <c r="S159" i="19"/>
  <c r="S242" i="19"/>
  <c r="T242" i="19"/>
  <c r="T204" i="18"/>
  <c r="G21" i="19"/>
  <c r="G28" i="19"/>
  <c r="G73" i="19"/>
  <c r="S185" i="19"/>
  <c r="S241" i="19"/>
  <c r="T241" i="19"/>
  <c r="V265" i="17"/>
  <c r="W265" i="17"/>
  <c r="S265" i="17"/>
  <c r="T265" i="17"/>
  <c r="W266" i="17"/>
  <c r="V269" i="17"/>
  <c r="W269" i="17"/>
  <c r="V202" i="17"/>
  <c r="W202" i="17"/>
  <c r="W226" i="17"/>
  <c r="W111" i="17"/>
  <c r="V111" i="17"/>
  <c r="F176" i="17"/>
  <c r="W224" i="17"/>
  <c r="W241" i="17"/>
  <c r="V85" i="17"/>
  <c r="W85" i="17"/>
  <c r="T94" i="17"/>
  <c r="V130" i="17"/>
  <c r="S134" i="17"/>
  <c r="T134" i="17"/>
  <c r="V135" i="17"/>
  <c r="W135" i="17"/>
  <c r="V147" i="17"/>
  <c r="W147" i="17"/>
  <c r="S172" i="17"/>
  <c r="S213" i="17"/>
  <c r="T213" i="17"/>
  <c r="T104" i="17"/>
  <c r="S113" i="17"/>
  <c r="F115" i="17"/>
  <c r="V165" i="17"/>
  <c r="W165" i="17"/>
  <c r="S183" i="17"/>
  <c r="F182" i="17"/>
  <c r="T183" i="17"/>
  <c r="S185" i="17"/>
  <c r="V223" i="17"/>
  <c r="W223" i="17"/>
  <c r="V235" i="17"/>
  <c r="W235" i="17"/>
  <c r="W187" i="17"/>
  <c r="S133" i="17"/>
  <c r="T133" i="17"/>
  <c r="W174" i="17"/>
  <c r="W126" i="17"/>
  <c r="W124" i="17"/>
  <c r="T179" i="17"/>
  <c r="V128" i="17"/>
  <c r="T147" i="17"/>
  <c r="S173" i="17"/>
  <c r="T173" i="17"/>
  <c r="V194" i="17"/>
  <c r="W214" i="17"/>
  <c r="T215" i="17"/>
  <c r="W233" i="17"/>
  <c r="V234" i="17"/>
  <c r="T120" i="17"/>
  <c r="T113" i="17"/>
  <c r="S194" i="17"/>
  <c r="W83" i="17"/>
  <c r="T185" i="17"/>
  <c r="T84" i="17"/>
  <c r="V117" i="17"/>
  <c r="S159" i="17"/>
  <c r="T159" i="17"/>
  <c r="V166" i="17"/>
  <c r="T180" i="17"/>
  <c r="S180" i="17"/>
  <c r="T184" i="17"/>
  <c r="S184" i="17"/>
  <c r="T193" i="17"/>
  <c r="G193" i="17"/>
  <c r="V225" i="17"/>
  <c r="W225" i="17"/>
  <c r="F229" i="17"/>
  <c r="S227" i="17"/>
  <c r="T227" i="17"/>
  <c r="S241" i="17"/>
  <c r="T241" i="17"/>
  <c r="V242" i="17"/>
  <c r="V243" i="17"/>
  <c r="W243" i="17"/>
  <c r="S131" i="17"/>
  <c r="S210" i="17"/>
  <c r="S233" i="17"/>
  <c r="F253" i="17"/>
  <c r="W109" i="12"/>
  <c r="S240" i="12"/>
  <c r="T240" i="12"/>
  <c r="V148" i="12"/>
  <c r="T145" i="12"/>
  <c r="S145" i="12"/>
  <c r="V131" i="12"/>
  <c r="W209" i="12"/>
  <c r="V209" i="12"/>
  <c r="V109" i="12"/>
  <c r="S115" i="12"/>
  <c r="T115" i="12"/>
  <c r="W149" i="12"/>
  <c r="V149" i="12"/>
  <c r="T103" i="12"/>
  <c r="S103" i="12"/>
  <c r="S109" i="12"/>
  <c r="T109" i="12"/>
  <c r="V218" i="12"/>
  <c r="W218" i="12"/>
  <c r="T193" i="12"/>
  <c r="S193" i="12"/>
  <c r="V157" i="12"/>
  <c r="W157" i="12"/>
  <c r="V112" i="12"/>
  <c r="W112" i="12"/>
  <c r="V114" i="12"/>
  <c r="S157" i="12"/>
  <c r="T157" i="12"/>
  <c r="T204" i="12"/>
  <c r="W130" i="12"/>
  <c r="V130" i="12"/>
  <c r="W126" i="12"/>
  <c r="V128" i="12"/>
  <c r="W128" i="12"/>
  <c r="V184" i="12"/>
  <c r="W184" i="12"/>
  <c r="G193" i="12"/>
  <c r="S100" i="12"/>
  <c r="T100" i="12"/>
  <c r="V226" i="12"/>
  <c r="W226" i="12"/>
  <c r="G228" i="12"/>
  <c r="W181" i="12"/>
  <c r="V181" i="12"/>
  <c r="G192" i="12"/>
  <c r="V104" i="12"/>
  <c r="W104" i="12"/>
  <c r="S121" i="12"/>
  <c r="T121" i="12"/>
  <c r="V132" i="12"/>
  <c r="V105" i="13"/>
  <c r="V177" i="13"/>
  <c r="G201" i="13"/>
  <c r="V201" i="13"/>
  <c r="W130" i="13"/>
  <c r="V126" i="13"/>
  <c r="W126" i="13"/>
  <c r="V129" i="13"/>
  <c r="V208" i="13"/>
  <c r="W208" i="13"/>
  <c r="T226" i="13"/>
  <c r="S226" i="13"/>
  <c r="W146" i="13"/>
  <c r="V146" i="13"/>
  <c r="V168" i="13"/>
  <c r="W215" i="13"/>
  <c r="V215" i="13"/>
  <c r="V142" i="13"/>
  <c r="V219" i="13"/>
  <c r="W219" i="13"/>
  <c r="W86" i="13"/>
  <c r="V86" i="13"/>
  <c r="W113" i="13"/>
  <c r="V113" i="13"/>
  <c r="W223" i="13"/>
  <c r="V223" i="13"/>
  <c r="T112" i="13"/>
  <c r="S112" i="13"/>
  <c r="V124" i="13"/>
  <c r="W124" i="13"/>
  <c r="V190" i="13"/>
  <c r="W88" i="13"/>
  <c r="V88" i="13"/>
  <c r="W123" i="13"/>
  <c r="V123" i="13"/>
  <c r="V199" i="13"/>
  <c r="V136" i="13"/>
  <c r="W136" i="13"/>
  <c r="W166" i="13"/>
  <c r="V166" i="13"/>
  <c r="W117" i="13"/>
  <c r="V117" i="13"/>
  <c r="G226" i="13"/>
  <c r="V141" i="18"/>
  <c r="W141" i="18"/>
  <c r="S126" i="18"/>
  <c r="T126" i="18"/>
  <c r="V156" i="18"/>
  <c r="V81" i="18"/>
  <c r="V177" i="18"/>
  <c r="W177" i="18"/>
  <c r="V143" i="18"/>
  <c r="W181" i="17"/>
  <c r="V181" i="17"/>
  <c r="V173" i="15"/>
  <c r="W173" i="15"/>
  <c r="S115" i="15"/>
  <c r="T115" i="15"/>
  <c r="W178" i="15"/>
  <c r="V178" i="15"/>
  <c r="W218" i="19"/>
  <c r="G195" i="19"/>
  <c r="W195" i="19"/>
  <c r="V210" i="19"/>
  <c r="V87" i="19"/>
  <c r="V128" i="11"/>
  <c r="W128" i="11"/>
  <c r="V88" i="11"/>
  <c r="V91" i="11"/>
  <c r="V161" i="19"/>
  <c r="V162" i="19"/>
  <c r="F185" i="16"/>
  <c r="V120" i="14"/>
  <c r="W120" i="14"/>
  <c r="V117" i="14"/>
  <c r="W117" i="14"/>
  <c r="V192" i="14"/>
  <c r="W192" i="14"/>
  <c r="V147" i="14"/>
  <c r="V241" i="14"/>
  <c r="W241" i="14"/>
  <c r="G57" i="14"/>
  <c r="V204" i="14"/>
  <c r="W204" i="14"/>
  <c r="G71" i="14"/>
  <c r="V141" i="14"/>
  <c r="V252" i="14"/>
  <c r="W252" i="14"/>
  <c r="V224" i="14"/>
  <c r="W224" i="14"/>
  <c r="V144" i="14"/>
  <c r="W144" i="14"/>
  <c r="V143" i="14"/>
  <c r="W143" i="14"/>
  <c r="G28" i="14"/>
  <c r="V92" i="14"/>
  <c r="W92" i="14"/>
  <c r="V245" i="14"/>
  <c r="W245" i="14"/>
  <c r="V161" i="14"/>
  <c r="W161" i="14"/>
  <c r="W128" i="14"/>
  <c r="V126" i="14"/>
  <c r="W126" i="14"/>
  <c r="V222" i="14"/>
  <c r="W222" i="14"/>
  <c r="V220" i="14"/>
  <c r="V150" i="14"/>
  <c r="V146" i="19"/>
  <c r="V142" i="19"/>
  <c r="V138" i="19"/>
  <c r="W129" i="19"/>
  <c r="V129" i="19"/>
  <c r="W132" i="19"/>
  <c r="V132" i="19"/>
  <c r="W137" i="19"/>
  <c r="V137" i="19"/>
  <c r="T109" i="19"/>
  <c r="S109" i="19"/>
  <c r="T151" i="19"/>
  <c r="S151" i="19"/>
  <c r="V213" i="19"/>
  <c r="V85" i="19"/>
  <c r="W85" i="19"/>
  <c r="V110" i="19"/>
  <c r="V218" i="19"/>
  <c r="V150" i="19"/>
  <c r="V113" i="19"/>
  <c r="W113" i="19"/>
  <c r="V125" i="19"/>
  <c r="V118" i="19"/>
  <c r="S139" i="19"/>
  <c r="T139" i="19"/>
  <c r="T121" i="19"/>
  <c r="S121" i="19"/>
  <c r="W148" i="19"/>
  <c r="V148" i="19"/>
  <c r="S215" i="19"/>
  <c r="T215" i="19"/>
  <c r="T127" i="19"/>
  <c r="S127" i="19"/>
  <c r="W169" i="19"/>
  <c r="V169" i="19"/>
  <c r="W154" i="19"/>
  <c r="S100" i="19"/>
  <c r="T100" i="19"/>
  <c r="V154" i="19"/>
  <c r="V224" i="10"/>
  <c r="V119" i="10"/>
  <c r="W119" i="10"/>
  <c r="T253" i="10"/>
  <c r="V200" i="10"/>
  <c r="V168" i="10"/>
  <c r="W231" i="10"/>
  <c r="V231" i="10"/>
  <c r="T143" i="18"/>
  <c r="S143" i="18"/>
  <c r="V148" i="18"/>
  <c r="W148" i="18"/>
  <c r="W196" i="18"/>
  <c r="S102" i="18"/>
  <c r="T102" i="18"/>
  <c r="V107" i="18"/>
  <c r="W107" i="18"/>
  <c r="V108" i="18"/>
  <c r="W108" i="18"/>
  <c r="S201" i="18"/>
  <c r="T201" i="18"/>
  <c r="S137" i="18"/>
  <c r="T137" i="18"/>
  <c r="V153" i="18"/>
  <c r="W153" i="18"/>
  <c r="V164" i="18"/>
  <c r="W164" i="18"/>
  <c r="W205" i="18"/>
  <c r="V205" i="18"/>
  <c r="S95" i="18"/>
  <c r="T95" i="18"/>
  <c r="V140" i="11"/>
  <c r="S137" i="11"/>
  <c r="T137" i="11"/>
  <c r="W117" i="11"/>
  <c r="V117" i="11"/>
  <c r="G102" i="11"/>
  <c r="T102" i="11"/>
  <c r="S102" i="11"/>
  <c r="T158" i="10"/>
  <c r="S158" i="10"/>
  <c r="V108" i="10"/>
  <c r="W108" i="10"/>
  <c r="T108" i="10"/>
  <c r="S108" i="10"/>
  <c r="W112" i="10"/>
  <c r="V112" i="10"/>
  <c r="V97" i="10"/>
  <c r="W97" i="10"/>
  <c r="V227" i="10"/>
  <c r="W227" i="10"/>
  <c r="V223" i="10"/>
  <c r="V189" i="10"/>
  <c r="W189" i="10"/>
  <c r="G199" i="10"/>
  <c r="W114" i="10"/>
  <c r="W207" i="10"/>
  <c r="V207" i="10"/>
  <c r="V201" i="10"/>
  <c r="W201" i="10"/>
  <c r="T200" i="10"/>
  <c r="S200" i="10"/>
  <c r="G73" i="10"/>
  <c r="S234" i="10"/>
  <c r="T234" i="10"/>
  <c r="W99" i="10"/>
  <c r="V99" i="10"/>
  <c r="V215" i="10"/>
  <c r="W215" i="10"/>
  <c r="S227" i="10"/>
  <c r="T227" i="10"/>
  <c r="V145" i="10"/>
  <c r="W145" i="10"/>
  <c r="V148" i="10"/>
  <c r="W148" i="10"/>
  <c r="S219" i="10"/>
  <c r="T219" i="10"/>
  <c r="S145" i="10"/>
  <c r="T145" i="10"/>
  <c r="W176" i="10"/>
  <c r="V176" i="10"/>
  <c r="V182" i="10"/>
  <c r="W182" i="10"/>
  <c r="W174" i="10"/>
  <c r="V174" i="10"/>
  <c r="W107" i="10"/>
  <c r="V107" i="10"/>
  <c r="S125" i="11"/>
  <c r="T125" i="11"/>
  <c r="G235" i="11"/>
  <c r="W233" i="11"/>
  <c r="V233" i="11"/>
  <c r="V231" i="11"/>
  <c r="D273" i="14"/>
  <c r="S98" i="18"/>
  <c r="T98" i="18"/>
  <c r="W84" i="19"/>
  <c r="V84" i="19"/>
  <c r="V100" i="19"/>
  <c r="W100" i="19"/>
  <c r="G98" i="19"/>
  <c r="V98" i="19"/>
  <c r="W98" i="19"/>
  <c r="W201" i="19"/>
  <c r="V201" i="19"/>
  <c r="T195" i="19"/>
  <c r="S195" i="19"/>
  <c r="S151" i="12"/>
  <c r="T151" i="12"/>
  <c r="V119" i="18"/>
  <c r="W119" i="18"/>
  <c r="V118" i="18"/>
  <c r="W118" i="18"/>
  <c r="W111" i="13"/>
  <c r="V111" i="13"/>
  <c r="G99" i="19"/>
  <c r="V222" i="18"/>
  <c r="W222" i="18"/>
  <c r="V234" i="18"/>
  <c r="W234" i="18" s="1"/>
  <c r="W188" i="11"/>
  <c r="G199" i="11"/>
  <c r="G202" i="11"/>
  <c r="V188" i="11"/>
  <c r="S234" i="18"/>
  <c r="T234" i="18" s="1"/>
  <c r="S182" i="18"/>
  <c r="T182" i="18"/>
  <c r="T192" i="12"/>
  <c r="S192" i="12"/>
  <c r="V105" i="10"/>
  <c r="W105" i="10"/>
  <c r="W161" i="10"/>
  <c r="V161" i="10"/>
  <c r="Y91" i="4"/>
  <c r="Z91" i="4"/>
  <c r="G103" i="11"/>
  <c r="V167" i="10"/>
  <c r="W167" i="10"/>
  <c r="W166" i="10"/>
  <c r="V166" i="10"/>
  <c r="T91" i="10"/>
  <c r="S91" i="10"/>
  <c r="W115" i="19"/>
  <c r="V115" i="19"/>
  <c r="V217" i="12"/>
  <c r="W217" i="12"/>
  <c r="S213" i="12"/>
  <c r="T213" i="12"/>
  <c r="V96" i="15"/>
  <c r="W96" i="15"/>
  <c r="T106" i="13"/>
  <c r="S106" i="13"/>
  <c r="V234" i="10"/>
  <c r="W234" i="10"/>
  <c r="T152" i="15"/>
  <c r="S152" i="15"/>
  <c r="W110" i="13"/>
  <c r="V110" i="13"/>
  <c r="V183" i="11"/>
  <c r="W183" i="11"/>
  <c r="V251" i="14"/>
  <c r="W251" i="14"/>
  <c r="S164" i="15"/>
  <c r="T164" i="15"/>
  <c r="W205" i="13"/>
  <c r="V205" i="13"/>
  <c r="G210" i="13"/>
  <c r="W158" i="13"/>
  <c r="V158" i="13"/>
  <c r="V155" i="14"/>
  <c r="Y178" i="4"/>
  <c r="Z178" i="4"/>
  <c r="V91" i="19"/>
  <c r="W91" i="19"/>
  <c r="W115" i="18"/>
  <c r="V115" i="18"/>
  <c r="W167" i="19"/>
  <c r="V260" i="17"/>
  <c r="W260" i="17"/>
  <c r="V227" i="18"/>
  <c r="W227" i="18"/>
  <c r="W251" i="17"/>
  <c r="V251" i="17"/>
  <c r="G180" i="18"/>
  <c r="V183" i="18"/>
  <c r="W183" i="18"/>
  <c r="W206" i="13"/>
  <c r="V206" i="13"/>
  <c r="W124" i="11"/>
  <c r="V124" i="11"/>
  <c r="T96" i="10"/>
  <c r="S96" i="10"/>
  <c r="F171" i="10"/>
  <c r="V164" i="11"/>
  <c r="G162" i="11"/>
  <c r="W164" i="11"/>
  <c r="V112" i="15"/>
  <c r="W112" i="15"/>
  <c r="V110" i="15"/>
  <c r="W110" i="15"/>
  <c r="S221" i="12"/>
  <c r="T221" i="12"/>
  <c r="V133" i="12"/>
  <c r="W133" i="12"/>
  <c r="W131" i="18"/>
  <c r="V131" i="18"/>
  <c r="V107" i="15"/>
  <c r="W107" i="15"/>
  <c r="W201" i="11"/>
  <c r="V201" i="11"/>
  <c r="V219" i="12"/>
  <c r="W219" i="12"/>
  <c r="W151" i="12"/>
  <c r="V151" i="12"/>
  <c r="S97" i="13"/>
  <c r="T97" i="13"/>
  <c r="V159" i="15"/>
  <c r="W159" i="15"/>
  <c r="V184" i="14"/>
  <c r="W184" i="14"/>
  <c r="F189" i="17"/>
  <c r="V208" i="15"/>
  <c r="W208" i="15"/>
  <c r="G154" i="13"/>
  <c r="W154" i="13"/>
  <c r="S218" i="17"/>
  <c r="T218" i="17"/>
  <c r="W94" i="18"/>
  <c r="V94" i="18"/>
  <c r="W194" i="14"/>
  <c r="G198" i="14"/>
  <c r="V198" i="14"/>
  <c r="W198" i="14"/>
  <c r="S143" i="11"/>
  <c r="T143" i="11"/>
  <c r="F169" i="11"/>
  <c r="V168" i="18"/>
  <c r="W168" i="18"/>
  <c r="V224" i="18"/>
  <c r="W224" i="18"/>
  <c r="T202" i="11"/>
  <c r="S202" i="11"/>
  <c r="V223" i="19"/>
  <c r="W223" i="19"/>
  <c r="T164" i="10"/>
  <c r="S164" i="10"/>
  <c r="S199" i="11"/>
  <c r="T199" i="11"/>
  <c r="V97" i="11"/>
  <c r="W97" i="11"/>
  <c r="S192" i="13"/>
  <c r="T192" i="13"/>
  <c r="W109" i="19"/>
  <c r="V109" i="19"/>
  <c r="W127" i="15"/>
  <c r="V127" i="15"/>
  <c r="W208" i="12"/>
  <c r="V208" i="12"/>
  <c r="W178" i="13"/>
  <c r="G192" i="13"/>
  <c r="V192" i="13"/>
  <c r="W192" i="13"/>
  <c r="G189" i="13"/>
  <c r="V178" i="13"/>
  <c r="V139" i="14"/>
  <c r="V204" i="12"/>
  <c r="W204" i="12" s="1"/>
  <c r="V228" i="11"/>
  <c r="W228" i="11"/>
  <c r="Y184" i="4"/>
  <c r="Z184" i="4"/>
  <c r="T145" i="19"/>
  <c r="S145" i="19"/>
  <c r="W183" i="19"/>
  <c r="G194" i="19"/>
  <c r="V183" i="19"/>
  <c r="V94" i="19"/>
  <c r="W94" i="19"/>
  <c r="S197" i="19"/>
  <c r="T197" i="19"/>
  <c r="V223" i="18"/>
  <c r="W223" i="18"/>
  <c r="V167" i="19"/>
  <c r="V174" i="18"/>
  <c r="W174" i="18"/>
  <c r="G182" i="18"/>
  <c r="W185" i="13"/>
  <c r="V185" i="13"/>
  <c r="G191" i="13"/>
  <c r="V191" i="13"/>
  <c r="W191" i="13"/>
  <c r="S103" i="11"/>
  <c r="T103" i="11"/>
  <c r="W104" i="10"/>
  <c r="V104" i="10"/>
  <c r="J148" i="4"/>
  <c r="Y148" i="4" s="1"/>
  <c r="W205" i="10"/>
  <c r="V205" i="10"/>
  <c r="S92" i="10"/>
  <c r="T92" i="10"/>
  <c r="S196" i="14"/>
  <c r="T196" i="14"/>
  <c r="S136" i="15"/>
  <c r="T136" i="15"/>
  <c r="T189" i="13"/>
  <c r="S189" i="13"/>
  <c r="S155" i="15"/>
  <c r="T155" i="15"/>
  <c r="S250" i="12"/>
  <c r="T250" i="12" s="1"/>
  <c r="W148" i="13"/>
  <c r="V148" i="13"/>
  <c r="T210" i="13"/>
  <c r="S210" i="13"/>
  <c r="S154" i="13"/>
  <c r="T154" i="13"/>
  <c r="V159" i="14"/>
  <c r="S158" i="14"/>
  <c r="V247" i="14"/>
  <c r="W247" i="14"/>
  <c r="V205" i="14"/>
  <c r="W205" i="14"/>
  <c r="W107" i="14"/>
  <c r="W91" i="14"/>
  <c r="G102" i="14"/>
  <c r="V91" i="14"/>
  <c r="S233" i="14"/>
  <c r="T233" i="14"/>
  <c r="W149" i="14"/>
  <c r="V149" i="14"/>
  <c r="V146" i="14"/>
  <c r="W146" i="14"/>
  <c r="V233" i="14"/>
  <c r="V113" i="14"/>
  <c r="W113" i="14"/>
  <c r="W231" i="14"/>
  <c r="V231" i="14"/>
  <c r="T101" i="14"/>
  <c r="S101" i="14"/>
  <c r="S180" i="14"/>
  <c r="T180" i="14"/>
  <c r="V152" i="14"/>
  <c r="W162" i="14"/>
  <c r="T146" i="14"/>
  <c r="S146" i="14"/>
  <c r="V226" i="14"/>
  <c r="W226" i="14"/>
  <c r="T152" i="14"/>
  <c r="S152" i="14"/>
  <c r="V94" i="14"/>
  <c r="W94" i="14"/>
  <c r="T217" i="14"/>
  <c r="W101" i="14"/>
  <c r="W213" i="14"/>
  <c r="V213" i="14"/>
  <c r="G197" i="14"/>
  <c r="V187" i="14"/>
  <c r="W187" i="14"/>
  <c r="V162" i="14"/>
  <c r="S102" i="14"/>
  <c r="T102" i="14"/>
  <c r="V138" i="14"/>
  <c r="W138" i="14"/>
  <c r="F165" i="14"/>
  <c r="S106" i="14"/>
  <c r="T106" i="14"/>
  <c r="V208" i="14"/>
  <c r="W208" i="14"/>
  <c r="V128" i="10"/>
  <c r="W128" i="10"/>
  <c r="V158" i="17"/>
  <c r="W158" i="17"/>
  <c r="V158" i="19"/>
  <c r="W158" i="19"/>
  <c r="W81" i="18"/>
  <c r="J81" i="4"/>
  <c r="V202" i="15"/>
  <c r="W202" i="15"/>
  <c r="W160" i="15"/>
  <c r="V160" i="15"/>
  <c r="S208" i="15"/>
  <c r="T208" i="15"/>
  <c r="V204" i="15"/>
  <c r="W204" i="15"/>
  <c r="V105" i="15"/>
  <c r="W105" i="15"/>
  <c r="F237" i="11"/>
  <c r="F256" i="11"/>
  <c r="S183" i="11"/>
  <c r="T183" i="11"/>
  <c r="V245" i="10"/>
  <c r="W245" i="10"/>
  <c r="T211" i="11"/>
  <c r="S211" i="11"/>
  <c r="G91" i="10"/>
  <c r="J82" i="4"/>
  <c r="Z82" i="4" s="1"/>
  <c r="Y82" i="4"/>
  <c r="W157" i="10"/>
  <c r="V157" i="10"/>
  <c r="Z86" i="4"/>
  <c r="Y86" i="4"/>
  <c r="G196" i="19"/>
  <c r="V191" i="19"/>
  <c r="W191" i="19"/>
  <c r="W142" i="18"/>
  <c r="V142" i="18"/>
  <c r="S253" i="11"/>
  <c r="T253" i="11"/>
  <c r="W161" i="11"/>
  <c r="V161" i="11"/>
  <c r="S228" i="11"/>
  <c r="T228" i="11"/>
  <c r="S173" i="13"/>
  <c r="T173" i="13"/>
  <c r="W130" i="11"/>
  <c r="V130" i="11"/>
  <c r="W100" i="10"/>
  <c r="V100" i="10"/>
  <c r="W159" i="10"/>
  <c r="Y93" i="4"/>
  <c r="Z93" i="4"/>
  <c r="Z83" i="4"/>
  <c r="Y83" i="4"/>
  <c r="Z95" i="4"/>
  <c r="Y95" i="4"/>
  <c r="V190" i="4"/>
  <c r="W190" i="4"/>
  <c r="I191" i="4"/>
  <c r="F164" i="19"/>
  <c r="S133" i="19"/>
  <c r="T133" i="19"/>
  <c r="Y188" i="4"/>
  <c r="S248" i="19"/>
  <c r="T248" i="19"/>
  <c r="V99" i="18"/>
  <c r="W99" i="18"/>
  <c r="W206" i="15"/>
  <c r="W200" i="15"/>
  <c r="S110" i="15"/>
  <c r="T110" i="15"/>
  <c r="F122" i="15"/>
  <c r="W169" i="13"/>
  <c r="G173" i="13"/>
  <c r="J123" i="4"/>
  <c r="W116" i="13"/>
  <c r="V116" i="13"/>
  <c r="W146" i="11"/>
  <c r="V146" i="11"/>
  <c r="W141" i="15"/>
  <c r="G152" i="15"/>
  <c r="J126" i="4"/>
  <c r="Y126" i="4" s="1"/>
  <c r="Z126" i="4" s="1"/>
  <c r="V248" i="19"/>
  <c r="W248" i="19"/>
  <c r="Y163" i="4"/>
  <c r="W121" i="19"/>
  <c r="V121" i="19"/>
  <c r="Z134" i="4"/>
  <c r="Y134" i="4"/>
  <c r="W130" i="18"/>
  <c r="V91" i="18"/>
  <c r="W91" i="18"/>
  <c r="F220" i="16"/>
  <c r="F222" i="16"/>
  <c r="F224" i="16"/>
  <c r="V92" i="18"/>
  <c r="W92" i="18"/>
  <c r="W85" i="18"/>
  <c r="V161" i="15"/>
  <c r="W161" i="15"/>
  <c r="W150" i="15"/>
  <c r="G154" i="15"/>
  <c r="W201" i="15"/>
  <c r="V159" i="11"/>
  <c r="W159" i="11"/>
  <c r="S124" i="13"/>
  <c r="T124" i="13"/>
  <c r="F250" i="13"/>
  <c r="Z137" i="4"/>
  <c r="Y137" i="4"/>
  <c r="Z88" i="4"/>
  <c r="Y88" i="4"/>
  <c r="Y127" i="4"/>
  <c r="Z127" i="4"/>
  <c r="Z87" i="4"/>
  <c r="Y87" i="4"/>
  <c r="Y116" i="4"/>
  <c r="Z116" i="4"/>
  <c r="G156" i="11"/>
  <c r="Y161" i="4"/>
  <c r="V255" i="14"/>
  <c r="W255" i="14"/>
  <c r="V261" i="17"/>
  <c r="W261" i="17"/>
  <c r="Y182" i="4"/>
  <c r="Z182" i="4"/>
  <c r="V273" i="17"/>
  <c r="W273" i="17"/>
  <c r="V229" i="17"/>
  <c r="W229" i="17"/>
  <c r="W209" i="17"/>
  <c r="G218" i="17"/>
  <c r="J129" i="4"/>
  <c r="V179" i="17"/>
  <c r="W179" i="17"/>
  <c r="T182" i="17"/>
  <c r="S182" i="17"/>
  <c r="V172" i="17"/>
  <c r="W172" i="17"/>
  <c r="W120" i="17"/>
  <c r="V120" i="17"/>
  <c r="V227" i="17"/>
  <c r="W227" i="17"/>
  <c r="T176" i="17"/>
  <c r="S176" i="17"/>
  <c r="V164" i="17"/>
  <c r="W164" i="17"/>
  <c r="S253" i="17"/>
  <c r="T253" i="17"/>
  <c r="V127" i="17"/>
  <c r="W127" i="17"/>
  <c r="W184" i="17"/>
  <c r="V184" i="17"/>
  <c r="V193" i="17"/>
  <c r="W193" i="17"/>
  <c r="W185" i="17"/>
  <c r="V185" i="17"/>
  <c r="W183" i="17"/>
  <c r="V183" i="17"/>
  <c r="V113" i="17"/>
  <c r="W113" i="17"/>
  <c r="V121" i="17"/>
  <c r="W121" i="17"/>
  <c r="S115" i="17"/>
  <c r="T115" i="17"/>
  <c r="J90" i="4"/>
  <c r="Y90" i="4" s="1"/>
  <c r="Z90" i="4" s="1"/>
  <c r="V94" i="17"/>
  <c r="W94" i="17"/>
  <c r="V246" i="17"/>
  <c r="W246" i="17"/>
  <c r="V180" i="17"/>
  <c r="W180" i="17"/>
  <c r="V104" i="17"/>
  <c r="W104" i="17"/>
  <c r="S229" i="17"/>
  <c r="T229" i="17"/>
  <c r="V159" i="17"/>
  <c r="W159" i="17"/>
  <c r="V237" i="17"/>
  <c r="W237" i="17"/>
  <c r="V209" i="17"/>
  <c r="W173" i="17"/>
  <c r="V173" i="17"/>
  <c r="V213" i="17"/>
  <c r="W213" i="17"/>
  <c r="G219" i="17"/>
  <c r="J132" i="4"/>
  <c r="V240" i="12"/>
  <c r="Y180" i="4"/>
  <c r="Z180" i="4"/>
  <c r="W240" i="12"/>
  <c r="V103" i="12"/>
  <c r="W103" i="12"/>
  <c r="V121" i="12"/>
  <c r="W121" i="12"/>
  <c r="W145" i="12"/>
  <c r="V145" i="12"/>
  <c r="W228" i="12"/>
  <c r="V228" i="12"/>
  <c r="V127" i="12"/>
  <c r="W127" i="12"/>
  <c r="V164" i="12"/>
  <c r="W164" i="12"/>
  <c r="W192" i="12"/>
  <c r="V192" i="12"/>
  <c r="W193" i="12"/>
  <c r="V193" i="12"/>
  <c r="V154" i="13"/>
  <c r="W201" i="13"/>
  <c r="W226" i="13"/>
  <c r="V226" i="13"/>
  <c r="W100" i="13"/>
  <c r="V100" i="13"/>
  <c r="W143" i="18"/>
  <c r="V181" i="15"/>
  <c r="W181" i="15"/>
  <c r="V137" i="11"/>
  <c r="W137" i="11"/>
  <c r="V195" i="19"/>
  <c r="G185" i="16"/>
  <c r="G73" i="14"/>
  <c r="W139" i="19"/>
  <c r="V139" i="19"/>
  <c r="W127" i="19"/>
  <c r="V127" i="19"/>
  <c r="V151" i="19"/>
  <c r="W151" i="19"/>
  <c r="Y105" i="4"/>
  <c r="Z105" i="4"/>
  <c r="V215" i="19"/>
  <c r="W215" i="19"/>
  <c r="W145" i="19"/>
  <c r="V145" i="19"/>
  <c r="V201" i="18"/>
  <c r="W201" i="18"/>
  <c r="V102" i="18"/>
  <c r="W102" i="18"/>
  <c r="V209" i="18"/>
  <c r="W209" i="18"/>
  <c r="V102" i="11"/>
  <c r="W102" i="11"/>
  <c r="W199" i="10"/>
  <c r="V199" i="10"/>
  <c r="W219" i="10"/>
  <c r="V219" i="10"/>
  <c r="W235" i="11"/>
  <c r="V235" i="11"/>
  <c r="F258" i="11"/>
  <c r="F260" i="11"/>
  <c r="F262" i="11"/>
  <c r="F254" i="11"/>
  <c r="V199" i="11"/>
  <c r="W199" i="11"/>
  <c r="V99" i="19"/>
  <c r="W99" i="19"/>
  <c r="S164" i="12"/>
  <c r="T164" i="12"/>
  <c r="V102" i="10"/>
  <c r="W102" i="10"/>
  <c r="V189" i="13"/>
  <c r="W189" i="13"/>
  <c r="S169" i="11"/>
  <c r="T169" i="11"/>
  <c r="W162" i="11"/>
  <c r="V162" i="11"/>
  <c r="V178" i="19"/>
  <c r="W178" i="19"/>
  <c r="V221" i="12"/>
  <c r="W221" i="12"/>
  <c r="V206" i="19"/>
  <c r="W206" i="19"/>
  <c r="V213" i="12"/>
  <c r="W213" i="12"/>
  <c r="W112" i="18"/>
  <c r="V112" i="18"/>
  <c r="W106" i="13"/>
  <c r="V106" i="13"/>
  <c r="J157" i="4"/>
  <c r="V104" i="11"/>
  <c r="W104" i="11"/>
  <c r="V194" i="19"/>
  <c r="W194" i="19"/>
  <c r="V119" i="11"/>
  <c r="W119" i="11"/>
  <c r="V253" i="17"/>
  <c r="W253" i="17"/>
  <c r="V164" i="10"/>
  <c r="W164" i="10"/>
  <c r="V180" i="18"/>
  <c r="W180" i="18"/>
  <c r="W210" i="10"/>
  <c r="V210" i="10"/>
  <c r="V182" i="18"/>
  <c r="W182" i="18"/>
  <c r="V136" i="15"/>
  <c r="W136" i="15"/>
  <c r="S171" i="10"/>
  <c r="T171" i="10"/>
  <c r="F236" i="10"/>
  <c r="V210" i="13"/>
  <c r="W210" i="13"/>
  <c r="V103" i="11"/>
  <c r="W103" i="11"/>
  <c r="W202" i="11"/>
  <c r="V202" i="11"/>
  <c r="S150" i="18"/>
  <c r="T150" i="18"/>
  <c r="J172" i="4"/>
  <c r="Z172" i="4" s="1"/>
  <c r="V103" i="14"/>
  <c r="W103" i="14"/>
  <c r="V137" i="14"/>
  <c r="W137" i="14"/>
  <c r="V197" i="14"/>
  <c r="W197" i="14"/>
  <c r="V217" i="14"/>
  <c r="W217" i="14"/>
  <c r="V158" i="14"/>
  <c r="W158" i="14"/>
  <c r="V199" i="14"/>
  <c r="W199" i="14"/>
  <c r="V106" i="14"/>
  <c r="W106" i="14"/>
  <c r="F235" i="14"/>
  <c r="S165" i="14"/>
  <c r="T165" i="14"/>
  <c r="V111" i="14"/>
  <c r="W111" i="14"/>
  <c r="V102" i="14"/>
  <c r="W102" i="14"/>
  <c r="V155" i="15"/>
  <c r="W155" i="15"/>
  <c r="V112" i="13"/>
  <c r="W112" i="13"/>
  <c r="G161" i="13"/>
  <c r="W197" i="19"/>
  <c r="V197" i="19"/>
  <c r="V152" i="10"/>
  <c r="W152" i="10"/>
  <c r="V101" i="15"/>
  <c r="W101" i="15"/>
  <c r="V164" i="15"/>
  <c r="W164" i="15"/>
  <c r="V157" i="19"/>
  <c r="W157" i="19"/>
  <c r="V156" i="11"/>
  <c r="W156" i="11"/>
  <c r="S161" i="13"/>
  <c r="T161" i="13"/>
  <c r="W152" i="15"/>
  <c r="V152" i="15"/>
  <c r="S122" i="15"/>
  <c r="T122" i="15"/>
  <c r="V98" i="18"/>
  <c r="W98" i="18"/>
  <c r="V96" i="10"/>
  <c r="W96" i="10"/>
  <c r="V125" i="11"/>
  <c r="W125" i="11"/>
  <c r="W196" i="19"/>
  <c r="V196" i="19"/>
  <c r="Y81" i="4"/>
  <c r="Z81" i="4"/>
  <c r="Y123" i="4"/>
  <c r="Z123" i="4" s="1"/>
  <c r="F216" i="16"/>
  <c r="V128" i="18"/>
  <c r="W128" i="18"/>
  <c r="V173" i="13"/>
  <c r="W173" i="13"/>
  <c r="V95" i="18"/>
  <c r="W95" i="18"/>
  <c r="V154" i="15"/>
  <c r="W154" i="15"/>
  <c r="S164" i="19"/>
  <c r="T164" i="19"/>
  <c r="F232" i="19"/>
  <c r="W158" i="10"/>
  <c r="V158" i="10"/>
  <c r="W137" i="18"/>
  <c r="V137" i="18"/>
  <c r="V93" i="10"/>
  <c r="W93" i="10"/>
  <c r="V91" i="10"/>
  <c r="W91" i="10"/>
  <c r="V253" i="10"/>
  <c r="W253" i="10"/>
  <c r="S237" i="11"/>
  <c r="T237" i="11"/>
  <c r="Y107" i="4"/>
  <c r="Z107" i="4" s="1"/>
  <c r="V219" i="17"/>
  <c r="W219" i="17"/>
  <c r="W170" i="17"/>
  <c r="V170" i="17"/>
  <c r="V220" i="17"/>
  <c r="W220" i="17"/>
  <c r="J139" i="4"/>
  <c r="Y139" i="4" s="1"/>
  <c r="Z139" i="4" s="1"/>
  <c r="V182" i="17"/>
  <c r="J110" i="4"/>
  <c r="Y110" i="4" s="1"/>
  <c r="W182" i="17"/>
  <c r="V115" i="17"/>
  <c r="W115" i="17"/>
  <c r="V176" i="17"/>
  <c r="W176" i="17"/>
  <c r="J109" i="4"/>
  <c r="Z109" i="4" s="1"/>
  <c r="Y129" i="4"/>
  <c r="Z129" i="4"/>
  <c r="S189" i="17"/>
  <c r="T189" i="17"/>
  <c r="F256" i="17"/>
  <c r="F276" i="17"/>
  <c r="F274" i="17"/>
  <c r="V106" i="17"/>
  <c r="W106" i="17"/>
  <c r="J98" i="4"/>
  <c r="Y98" i="4" s="1"/>
  <c r="Z98" i="4" s="1"/>
  <c r="Y132" i="4"/>
  <c r="Z132" i="4"/>
  <c r="V157" i="17"/>
  <c r="W157" i="17"/>
  <c r="V109" i="17"/>
  <c r="W109" i="17"/>
  <c r="W218" i="17"/>
  <c r="V218" i="17"/>
  <c r="V250" i="12"/>
  <c r="W250" i="12" s="1"/>
  <c r="V164" i="19"/>
  <c r="W164" i="19"/>
  <c r="S230" i="12"/>
  <c r="T230" i="12" s="1"/>
  <c r="F253" i="12"/>
  <c r="F251" i="12" s="1"/>
  <c r="Y172" i="4"/>
  <c r="V169" i="11"/>
  <c r="W169" i="11"/>
  <c r="S218" i="18"/>
  <c r="T218" i="18"/>
  <c r="F256" i="10"/>
  <c r="S236" i="10"/>
  <c r="T236" i="10"/>
  <c r="S235" i="14"/>
  <c r="T235" i="14"/>
  <c r="F258" i="14"/>
  <c r="V165" i="14"/>
  <c r="W165" i="14"/>
  <c r="V218" i="18"/>
  <c r="W218" i="18"/>
  <c r="S190" i="15"/>
  <c r="S228" i="13"/>
  <c r="T228" i="13"/>
  <c r="V161" i="13"/>
  <c r="W161" i="13"/>
  <c r="V122" i="15"/>
  <c r="W122" i="15"/>
  <c r="V232" i="19"/>
  <c r="W232" i="19"/>
  <c r="S232" i="19"/>
  <c r="T232" i="19"/>
  <c r="F251" i="19"/>
  <c r="V150" i="18"/>
  <c r="W150" i="18"/>
  <c r="V171" i="10"/>
  <c r="W171" i="10" s="1"/>
  <c r="Y109" i="4"/>
  <c r="V189" i="17"/>
  <c r="W189" i="17"/>
  <c r="J112" i="4"/>
  <c r="Y112" i="4" s="1"/>
  <c r="S256" i="17"/>
  <c r="T256" i="17"/>
  <c r="Y108" i="4"/>
  <c r="Z108" i="4"/>
  <c r="Y106" i="4"/>
  <c r="Z106" i="4" s="1"/>
  <c r="F254" i="10"/>
  <c r="F258" i="10"/>
  <c r="F260" i="10"/>
  <c r="F262" i="10"/>
  <c r="V237" i="11"/>
  <c r="W237" i="11"/>
  <c r="V230" i="12"/>
  <c r="W230" i="12" s="1"/>
  <c r="F235" i="18"/>
  <c r="F255" i="12"/>
  <c r="V235" i="14"/>
  <c r="W235" i="14"/>
  <c r="F260" i="14"/>
  <c r="F262" i="14"/>
  <c r="F264" i="14"/>
  <c r="F256" i="14"/>
  <c r="G249" i="19"/>
  <c r="F248" i="13"/>
  <c r="F252" i="13"/>
  <c r="F253" i="19"/>
  <c r="F255" i="19"/>
  <c r="F257" i="19"/>
  <c r="F249" i="19"/>
  <c r="V228" i="13"/>
  <c r="W228" i="13"/>
  <c r="V256" i="17"/>
  <c r="W256" i="17"/>
  <c r="F278" i="17"/>
  <c r="F280" i="17"/>
  <c r="F282" i="17"/>
  <c r="G262" i="11"/>
  <c r="G254" i="11"/>
  <c r="G248" i="13"/>
  <c r="G274" i="17"/>
  <c r="Y157" i="4" l="1"/>
  <c r="Z157" i="4" s="1"/>
  <c r="G251" i="12"/>
  <c r="Z148" i="4"/>
  <c r="G235" i="18"/>
  <c r="G239" i="18"/>
  <c r="G241" i="18" s="1"/>
  <c r="G243" i="18" s="1"/>
  <c r="T190" i="15"/>
  <c r="F211" i="15"/>
  <c r="G213" i="15"/>
  <c r="G217" i="15" s="1"/>
  <c r="G209" i="15"/>
  <c r="V190" i="15"/>
  <c r="W190" i="15" s="1"/>
  <c r="J174" i="4"/>
  <c r="Y174" i="4" s="1"/>
  <c r="Z174" i="4" s="1"/>
  <c r="G256" i="14"/>
  <c r="G262" i="10"/>
  <c r="G254" i="10"/>
  <c r="V236" i="10"/>
  <c r="W236" i="10" s="1"/>
  <c r="Z112" i="4"/>
  <c r="Y190" i="4"/>
  <c r="Z190" i="4" s="1"/>
  <c r="Y179" i="4"/>
  <c r="D4" i="9"/>
  <c r="I4" i="9"/>
  <c r="Y102" i="4"/>
  <c r="Z102" i="4" s="1"/>
  <c r="Z186" i="4"/>
  <c r="Z183" i="4"/>
  <c r="F4" i="9"/>
  <c r="J4" i="9"/>
  <c r="B7" i="9"/>
  <c r="B11" i="9"/>
  <c r="D5" i="9"/>
  <c r="D10" i="9"/>
  <c r="E7" i="9"/>
  <c r="E11" i="9"/>
  <c r="F10" i="9"/>
  <c r="G7" i="9"/>
  <c r="G11" i="9"/>
  <c r="H8" i="9"/>
  <c r="I5" i="9"/>
  <c r="I9" i="9"/>
  <c r="J6" i="9"/>
  <c r="J10" i="9"/>
  <c r="K10" i="9"/>
  <c r="K11" i="9"/>
  <c r="D8" i="9"/>
  <c r="B4" i="9"/>
  <c r="Z101" i="4"/>
  <c r="Y130" i="4"/>
  <c r="G4" i="9"/>
  <c r="K4" i="9"/>
  <c r="C5" i="9"/>
  <c r="D6" i="9"/>
  <c r="F5" i="9"/>
  <c r="H5" i="9"/>
  <c r="I6" i="9"/>
  <c r="J7" i="9"/>
  <c r="Z110" i="4"/>
  <c r="Y101" i="4"/>
  <c r="Y103" i="4"/>
  <c r="Z103" i="4" s="1"/>
  <c r="Z179" i="4"/>
  <c r="Y104" i="4"/>
  <c r="Z104" i="4" s="1"/>
  <c r="Z128" i="4"/>
  <c r="C4" i="9"/>
  <c r="H4" i="9"/>
  <c r="B5" i="9"/>
  <c r="C6" i="9"/>
  <c r="C10" i="9"/>
  <c r="D7" i="9"/>
  <c r="E5" i="9"/>
  <c r="F6" i="9"/>
  <c r="G5" i="9"/>
  <c r="H6" i="9"/>
  <c r="I7" i="9"/>
  <c r="F209" i="15" l="1"/>
  <c r="F213" i="15"/>
  <c r="F215" i="15" s="1"/>
  <c r="F217" i="15" s="1"/>
  <c r="J193" i="4"/>
  <c r="J195" i="4" s="1"/>
  <c r="J197" i="4" s="1"/>
  <c r="J199" i="4" s="1"/>
  <c r="K17" i="9" s="1"/>
  <c r="D17" i="9" l="1"/>
  <c r="F17" i="9"/>
  <c r="E17" i="9"/>
  <c r="G17" i="9"/>
  <c r="H17" i="9"/>
  <c r="B17" i="9"/>
  <c r="J191" i="4"/>
  <c r="J17" i="9"/>
  <c r="C17" i="9"/>
  <c r="I17" i="9"/>
</calcChain>
</file>

<file path=xl/comments1.xml><?xml version="1.0" encoding="utf-8"?>
<comments xmlns="http://schemas.openxmlformats.org/spreadsheetml/2006/main">
  <authors>
    <author>Lenovo</author>
  </authors>
  <commentList>
    <comment ref="B91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inc. severance &amp; insurance</t>
        </r>
      </text>
    </comment>
    <comment ref="B92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inc. severance &amp; insurance</t>
        </r>
      </text>
    </comment>
    <comment ref="B93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inc. severance &amp; insurance</t>
        </r>
      </text>
    </comment>
    <comment ref="B94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inc. severance &amp; insurance</t>
        </r>
      </text>
    </comment>
    <comment ref="B96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inc. severance &amp; insurance</t>
        </r>
      </text>
    </comment>
    <comment ref="B97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inc. severance &amp; insurance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inc. severance &amp; insurance</t>
        </r>
      </text>
    </comment>
    <comment ref="B99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inc. severance &amp; insurance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B119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(30 patients, 1 cycles each)</t>
        </r>
      </text>
    </comment>
    <comment ref="B120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includes transportation for women, rental of location, dignity kit, lecturer fees, printing of material as well as light meals/snacks</t>
        </r>
      </text>
    </comment>
    <comment ref="B138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~ 600 US $/ student of uncovered annual tuition fees</t>
        </r>
      </text>
    </comment>
    <comment ref="B139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~ US $ 400/student per cycle of  3-4 months. </t>
        </r>
      </text>
    </comment>
    <comment ref="B140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for 40 Educators</t>
        </r>
      </text>
    </comment>
  </commentList>
</comments>
</file>

<file path=xl/sharedStrings.xml><?xml version="1.0" encoding="utf-8"?>
<sst xmlns="http://schemas.openxmlformats.org/spreadsheetml/2006/main" count="4209" uniqueCount="955">
  <si>
    <t>Unit Cost</t>
  </si>
  <si>
    <t>Unit</t>
  </si>
  <si>
    <t>Units</t>
  </si>
  <si>
    <t>TOTAL INCOME</t>
  </si>
  <si>
    <t>USD</t>
  </si>
  <si>
    <t>Budget</t>
  </si>
  <si>
    <t>EXPENDITURE</t>
  </si>
  <si>
    <t>Warehousing</t>
  </si>
  <si>
    <t>Handling</t>
  </si>
  <si>
    <t xml:space="preserve">Staff salaries </t>
  </si>
  <si>
    <t>EXCHANGE RATE: local currency to 1 USD</t>
  </si>
  <si>
    <t>Computers and accessories</t>
  </si>
  <si>
    <t>Printers</t>
  </si>
  <si>
    <t>Office Furniture</t>
  </si>
  <si>
    <t xml:space="preserve">Vehicles </t>
  </si>
  <si>
    <t>PROPOSED DISPOSITION OF CAPITAL ASSETS at Completion date</t>
  </si>
  <si>
    <t xml:space="preserve">ITEM - (List each over US$500) </t>
  </si>
  <si>
    <t>Disposition</t>
  </si>
  <si>
    <t>e.g.</t>
  </si>
  <si>
    <t>Transport (of relief materials)</t>
  </si>
  <si>
    <t>local currency</t>
  </si>
  <si>
    <r>
      <t xml:space="preserve">INCOME - </t>
    </r>
    <r>
      <rPr>
        <b/>
        <sz val="9"/>
        <rFont val="Arial"/>
        <family val="2"/>
      </rPr>
      <t>Received by Requesting Member via ACT Secretariat, Geneva</t>
    </r>
  </si>
  <si>
    <r>
      <t xml:space="preserve">INCOME- FIRM PLEDGES </t>
    </r>
    <r>
      <rPr>
        <b/>
        <sz val="9"/>
        <rFont val="Arial"/>
        <family val="2"/>
      </rPr>
      <t>(made both through ACT Secretariat and directly)</t>
    </r>
  </si>
  <si>
    <t>Requesting ACT member:</t>
  </si>
  <si>
    <t>BALANCE REQUESTED (minus available income)</t>
  </si>
  <si>
    <t>Budget rate</t>
  </si>
  <si>
    <t xml:space="preserve"> Actual cost</t>
  </si>
  <si>
    <t>TOTAL EXPENDITURE exclusive International Coordination Fee</t>
  </si>
  <si>
    <t>TOTAL EXPENDITURE inclusive International Coordination Fee</t>
  </si>
  <si>
    <t>To be supplied by ACT Secretariat</t>
  </si>
  <si>
    <t>Type of</t>
  </si>
  <si>
    <t>No. of</t>
  </si>
  <si>
    <t>Date</t>
  </si>
  <si>
    <t>Donor Name</t>
  </si>
  <si>
    <r>
      <t xml:space="preserve">INCOME - </t>
    </r>
    <r>
      <rPr>
        <b/>
        <sz val="9"/>
        <rFont val="Arial"/>
        <family val="2"/>
      </rPr>
      <t>Cash received directly from donors</t>
    </r>
  </si>
  <si>
    <r>
      <t>INCOME -</t>
    </r>
    <r>
      <rPr>
        <b/>
        <sz val="9"/>
        <rFont val="Arial"/>
        <family val="2"/>
      </rPr>
      <t xml:space="preserve"> In-kind donations received</t>
    </r>
  </si>
  <si>
    <t>INTERNATIONAL COORDINATION FEE (ICF) - 3%</t>
  </si>
  <si>
    <t>Salaries e. g % for Programme Director)</t>
  </si>
  <si>
    <t>Salaries e. g % for Finance Director)</t>
  </si>
  <si>
    <t>Office Operations</t>
  </si>
  <si>
    <t>Office rent</t>
  </si>
  <si>
    <t>Office Utilities</t>
  </si>
  <si>
    <t>Office stationery</t>
  </si>
  <si>
    <t xml:space="preserve">Communications </t>
  </si>
  <si>
    <t>Telephone and fax</t>
  </si>
  <si>
    <t xml:space="preserve">Other </t>
  </si>
  <si>
    <t>Insurance</t>
  </si>
  <si>
    <t>INCOME</t>
  </si>
  <si>
    <t>Hire/ Rental of Vehicles</t>
  </si>
  <si>
    <t>Fuel</t>
  </si>
  <si>
    <t>Rental of warehouse</t>
  </si>
  <si>
    <t>Wages for Security/ Guards</t>
  </si>
  <si>
    <t>Needs Assessment</t>
  </si>
  <si>
    <t xml:space="preserve">TOTAL DIRECT COST </t>
  </si>
  <si>
    <t>Salaries / wages for labourers</t>
  </si>
  <si>
    <t>Salaries / wages for Drivers</t>
  </si>
  <si>
    <t xml:space="preserve">Implementing Period: </t>
  </si>
  <si>
    <t>Education</t>
  </si>
  <si>
    <t>Early recovery &amp; livelihood restoration</t>
  </si>
  <si>
    <t>Food security</t>
  </si>
  <si>
    <t>Communications equipment e.g. camera, video camera, sound recording, satellite phone…</t>
  </si>
  <si>
    <t>INDIRECT COSTS: PERSONNEL, ADMINISTRATION &amp; SUPPORT</t>
  </si>
  <si>
    <t>TOTAL INDIRECT COST: PERSONNEL, ADMIN. &amp; SUPPORT</t>
  </si>
  <si>
    <t>Salaries for accountant and other admin or secretarial staff …..)</t>
  </si>
  <si>
    <t>Interest earned</t>
  </si>
  <si>
    <t>Payment advice #</t>
  </si>
  <si>
    <t xml:space="preserve">ACT APPEAL BUDGET FORMAT </t>
  </si>
  <si>
    <t>Appeal Number:</t>
  </si>
  <si>
    <t>Appeal Title:</t>
  </si>
  <si>
    <t>Appeal</t>
  </si>
  <si>
    <t>Shelter and settlement / Non-food items</t>
  </si>
  <si>
    <t>Water, sanitation &amp; hygiene (WASH)</t>
  </si>
  <si>
    <t>Health / Nutrition</t>
  </si>
  <si>
    <t>Protection / Psychosocial support</t>
  </si>
  <si>
    <t>Emergency Preparedness / Resilience</t>
  </si>
  <si>
    <t>Unconditional CASH grants</t>
  </si>
  <si>
    <t>Camp Management</t>
  </si>
  <si>
    <t>SECURITY</t>
  </si>
  <si>
    <t>Material resources</t>
  </si>
  <si>
    <t xml:space="preserve">Human resources </t>
  </si>
  <si>
    <t>Security trainings</t>
  </si>
  <si>
    <t xml:space="preserve">Site enhancements </t>
  </si>
  <si>
    <t>TOTAL SECURITY</t>
  </si>
  <si>
    <t>DIRECT COSTS</t>
  </si>
  <si>
    <t>PROGRAM STAFF</t>
  </si>
  <si>
    <t>TOTAL PROGRAM STAFF</t>
  </si>
  <si>
    <t>1.2.</t>
  </si>
  <si>
    <t>Appeal Lead</t>
  </si>
  <si>
    <t>1.3.</t>
  </si>
  <si>
    <t>1.2.1.</t>
  </si>
  <si>
    <t>1.2.2.</t>
  </si>
  <si>
    <t>1.2.3.</t>
  </si>
  <si>
    <t>1.2.4.</t>
  </si>
  <si>
    <t>1.2.5.</t>
  </si>
  <si>
    <t>1.3.1.</t>
  </si>
  <si>
    <t>1.3.2.</t>
  </si>
  <si>
    <t>1.3.3.</t>
  </si>
  <si>
    <t>1.3.4.</t>
  </si>
  <si>
    <t>1.3.5.</t>
  </si>
  <si>
    <t>PROGRAM ACTIVITIES</t>
  </si>
  <si>
    <t>2.1.</t>
  </si>
  <si>
    <t>2.2.</t>
  </si>
  <si>
    <t>2.3.</t>
  </si>
  <si>
    <t>2.4.</t>
  </si>
  <si>
    <t>2.5.</t>
  </si>
  <si>
    <t xml:space="preserve">2.6. </t>
  </si>
  <si>
    <t xml:space="preserve">2.7. </t>
  </si>
  <si>
    <t>2.8.</t>
  </si>
  <si>
    <t>2.9.</t>
  </si>
  <si>
    <t>2.10.</t>
  </si>
  <si>
    <t>International program staff</t>
  </si>
  <si>
    <t>National program staff</t>
  </si>
  <si>
    <t>Rapid Support Team (ACT FAST)</t>
  </si>
  <si>
    <t>PROGRAM LOGISTICS</t>
  </si>
  <si>
    <t>TOTAL PROGRAM IMPLEMENTATION</t>
  </si>
  <si>
    <t>TOTAL PROGRAM LOGISTICS</t>
  </si>
  <si>
    <t>Local Partners</t>
  </si>
  <si>
    <t>PROGRAM ASSETS &amp; EQUIPMENT</t>
  </si>
  <si>
    <t>TOTAL PROGRAM ASSETS &amp; EQUIPMENT</t>
  </si>
  <si>
    <t>OTHER PROGRAM COSTS</t>
  </si>
  <si>
    <t>6.1.</t>
  </si>
  <si>
    <t>6.1.1.</t>
  </si>
  <si>
    <t>6.1.2.</t>
  </si>
  <si>
    <t>6.1.3.</t>
  </si>
  <si>
    <t>6.1.4.</t>
  </si>
  <si>
    <t>6.2.</t>
  </si>
  <si>
    <t>6.2.1.</t>
  </si>
  <si>
    <t>6.2.2.</t>
  </si>
  <si>
    <t>6.2.3.</t>
  </si>
  <si>
    <t>6.2.4.</t>
  </si>
  <si>
    <t>TOTAL PROGRAM ACTIVITIES</t>
  </si>
  <si>
    <t>travel</t>
  </si>
  <si>
    <t>accomodation</t>
  </si>
  <si>
    <t>PROGRAM IMPLEMENTATION</t>
  </si>
  <si>
    <t>Visibility / fundraising</t>
  </si>
  <si>
    <t>Kick-start workshop</t>
  </si>
  <si>
    <t>Mid-review workshop</t>
  </si>
  <si>
    <t>Staff trainings</t>
  </si>
  <si>
    <t>3.1.</t>
  </si>
  <si>
    <t xml:space="preserve">3.2. </t>
  </si>
  <si>
    <t>3.3.</t>
  </si>
  <si>
    <t>3.4.</t>
  </si>
  <si>
    <t>3.5.</t>
  </si>
  <si>
    <t>3.6.</t>
  </si>
  <si>
    <t>3.7.</t>
  </si>
  <si>
    <t>Monitoring &amp; evaluation</t>
  </si>
  <si>
    <t>Baseline / endline Assessment</t>
  </si>
  <si>
    <t>Complaint mechanisms / information sharing</t>
  </si>
  <si>
    <t xml:space="preserve">4.1. </t>
  </si>
  <si>
    <t xml:space="preserve">4.2. </t>
  </si>
  <si>
    <t>4.3.</t>
  </si>
  <si>
    <t>4.4.</t>
  </si>
  <si>
    <t>4.6.</t>
  </si>
  <si>
    <t>4.7.</t>
  </si>
  <si>
    <t>4.8.</t>
  </si>
  <si>
    <t>4.9.</t>
  </si>
  <si>
    <t>4.5.</t>
  </si>
  <si>
    <t>5.1.</t>
  </si>
  <si>
    <t>5.2.</t>
  </si>
  <si>
    <t>5.3.</t>
  </si>
  <si>
    <t>5.4.</t>
  </si>
  <si>
    <t>5.5.</t>
  </si>
  <si>
    <t>STRENGTHENING CAPACITIES</t>
  </si>
  <si>
    <t>6.3.</t>
  </si>
  <si>
    <t>Local members</t>
  </si>
  <si>
    <t>Target beneficiaries</t>
  </si>
  <si>
    <t>Faith communities</t>
  </si>
  <si>
    <t>TOTAL STRENGTHENING CAPACITIES</t>
  </si>
  <si>
    <t>6.3.1.</t>
  </si>
  <si>
    <t>6.3.2.</t>
  </si>
  <si>
    <t>6.3.3.</t>
  </si>
  <si>
    <t>Audit</t>
  </si>
  <si>
    <t>indicate source and date (remains constant throughout lifespan of Appeal)</t>
  </si>
  <si>
    <t>TOTAL</t>
  </si>
  <si>
    <t>Donor code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</si>
  <si>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</si>
  <si>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</si>
  <si>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</si>
  <si>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</si>
  <si>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</si>
  <si>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</si>
  <si>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</si>
  <si>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</si>
  <si>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</si>
  <si>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</si>
  <si>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DONOR CODE</t>
  </si>
  <si>
    <t>cell highlighted in red if above 15%</t>
  </si>
  <si>
    <t>Salaries for Logistician/Procurement Officer</t>
  </si>
  <si>
    <t>Total national program staff</t>
  </si>
  <si>
    <t>Total international program staff</t>
  </si>
  <si>
    <t>Total national</t>
  </si>
  <si>
    <t>Total international</t>
  </si>
  <si>
    <t xml:space="preserve">Total national </t>
  </si>
  <si>
    <t xml:space="preserve">Total international </t>
  </si>
  <si>
    <t>Transport</t>
  </si>
  <si>
    <t>Activities</t>
  </si>
  <si>
    <t>% of total budget for activities (USD)</t>
  </si>
  <si>
    <t>% of members' individual expenditures vis-à-vis total expenditures (USD)</t>
  </si>
  <si>
    <t>FORUM COORDINATION</t>
  </si>
  <si>
    <t>TOTAL FORUM COORDINATION</t>
  </si>
  <si>
    <t>2.1.1.</t>
  </si>
  <si>
    <t>2.1.2.</t>
  </si>
  <si>
    <t>2.1.3.</t>
  </si>
  <si>
    <t>2.1.4.</t>
  </si>
  <si>
    <t>2.1.5.</t>
  </si>
  <si>
    <t>2.2.1.</t>
  </si>
  <si>
    <t>2.2.2.</t>
  </si>
  <si>
    <t>2.2.3.</t>
  </si>
  <si>
    <t>2.2.4.</t>
  </si>
  <si>
    <t>2.2.5.</t>
  </si>
  <si>
    <t>2.3.1.</t>
  </si>
  <si>
    <t>2.3.2.</t>
  </si>
  <si>
    <t>2.3.3.</t>
  </si>
  <si>
    <t>2.3.4.</t>
  </si>
  <si>
    <t>2.3.5.</t>
  </si>
  <si>
    <t>2.4.1.</t>
  </si>
  <si>
    <t>2.4.2.</t>
  </si>
  <si>
    <t>2.4.3.</t>
  </si>
  <si>
    <t>2.4.4.</t>
  </si>
  <si>
    <t>2.4.5.</t>
  </si>
  <si>
    <t>2.5.1.</t>
  </si>
  <si>
    <t>2.5.2.</t>
  </si>
  <si>
    <t>2.5.3.</t>
  </si>
  <si>
    <t>2.5.4.</t>
  </si>
  <si>
    <t>2.5.5.</t>
  </si>
  <si>
    <t>2.6.1.</t>
  </si>
  <si>
    <t>2.6.2.</t>
  </si>
  <si>
    <t>2.6.3.</t>
  </si>
  <si>
    <t>2.6.4.</t>
  </si>
  <si>
    <t>2.6.5.</t>
  </si>
  <si>
    <t>2.7.1.</t>
  </si>
  <si>
    <t>2.7.2.</t>
  </si>
  <si>
    <t>2.7.3.</t>
  </si>
  <si>
    <t>2.7.4.</t>
  </si>
  <si>
    <t>2.7.5.</t>
  </si>
  <si>
    <t>2.8.1.</t>
  </si>
  <si>
    <t>2.8.2.</t>
  </si>
  <si>
    <t>2.8.3.</t>
  </si>
  <si>
    <t>2.8.4.</t>
  </si>
  <si>
    <t>2.8.5.</t>
  </si>
  <si>
    <t>2.9.1.</t>
  </si>
  <si>
    <t>2.9.2.</t>
  </si>
  <si>
    <t>2.9.3.</t>
  </si>
  <si>
    <t>2.9.4.</t>
  </si>
  <si>
    <t>2.9.5.</t>
  </si>
  <si>
    <t>2.10.1.</t>
  </si>
  <si>
    <t>2.10.2.</t>
  </si>
  <si>
    <t>2.10.3.</t>
  </si>
  <si>
    <t>2.10.4.</t>
  </si>
  <si>
    <t>2.10.5.</t>
  </si>
  <si>
    <t>3.8.</t>
  </si>
  <si>
    <t>Advocacy</t>
  </si>
  <si>
    <t>Shelter/NFIs item 1</t>
  </si>
  <si>
    <t>Shelter/NFIs item 2</t>
  </si>
  <si>
    <t>Shelter/NFIs item 3</t>
  </si>
  <si>
    <t>Shelter/NFIs item 4</t>
  </si>
  <si>
    <t>Shelter/NFIs item 5</t>
  </si>
  <si>
    <t>FS item 1</t>
  </si>
  <si>
    <t>FS item 5</t>
  </si>
  <si>
    <t>FS item 4</t>
  </si>
  <si>
    <t>FS item 3</t>
  </si>
  <si>
    <t>FS item 2</t>
  </si>
  <si>
    <t>WASH item 1</t>
  </si>
  <si>
    <t>WASH item 2</t>
  </si>
  <si>
    <t>WASH item 3</t>
  </si>
  <si>
    <t>WASH item 4</t>
  </si>
  <si>
    <t>WASH item 5</t>
  </si>
  <si>
    <t>H/N item 1</t>
  </si>
  <si>
    <t>H/N item 2</t>
  </si>
  <si>
    <t>H/N item 3</t>
  </si>
  <si>
    <t>H/N item 4</t>
  </si>
  <si>
    <t>H/N item 5</t>
  </si>
  <si>
    <t>P/PS item 1</t>
  </si>
  <si>
    <t>P/PS item 2</t>
  </si>
  <si>
    <t>P/PS item 3</t>
  </si>
  <si>
    <t>P/PS item 4</t>
  </si>
  <si>
    <t>P/PS item 5</t>
  </si>
  <si>
    <t>ER/L item 1</t>
  </si>
  <si>
    <t>ER/L item 2</t>
  </si>
  <si>
    <t>ER/L item 3</t>
  </si>
  <si>
    <t>ER/L item 4</t>
  </si>
  <si>
    <t>ER/L item 5</t>
  </si>
  <si>
    <t>Education item 1</t>
  </si>
  <si>
    <t>Education item 2</t>
  </si>
  <si>
    <t>Education item 3</t>
  </si>
  <si>
    <t>Education item 4</t>
  </si>
  <si>
    <t>Education item 5</t>
  </si>
  <si>
    <t>DRR item 1</t>
  </si>
  <si>
    <t>DRR item 2</t>
  </si>
  <si>
    <t>DRR item 3</t>
  </si>
  <si>
    <t>DRR item 4</t>
  </si>
  <si>
    <t>DRR item 5</t>
  </si>
  <si>
    <t>UCG item 1</t>
  </si>
  <si>
    <t>UCG item 2</t>
  </si>
  <si>
    <t>UCG item 3</t>
  </si>
  <si>
    <t>UCG item 4</t>
  </si>
  <si>
    <t>UCG item 5</t>
  </si>
  <si>
    <t>CM item 1</t>
  </si>
  <si>
    <t>CM item 5</t>
  </si>
  <si>
    <t>CM item 4</t>
  </si>
  <si>
    <t>CM item 3</t>
  </si>
  <si>
    <t>CM item 2</t>
  </si>
  <si>
    <t>Actual</t>
  </si>
  <si>
    <t>Variance</t>
  </si>
  <si>
    <t>%</t>
  </si>
  <si>
    <t>Notes</t>
  </si>
  <si>
    <t>Description</t>
  </si>
  <si>
    <t>Local partners/national members</t>
  </si>
  <si>
    <t>Resilience</t>
  </si>
  <si>
    <t>3.9.</t>
  </si>
  <si>
    <t>3.10.</t>
  </si>
  <si>
    <t>DRR / Climate change</t>
  </si>
  <si>
    <t>DRR / Climate Change</t>
  </si>
  <si>
    <r>
      <t xml:space="preserve">Rapid Support Team </t>
    </r>
    <r>
      <rPr>
        <i/>
        <sz val="10"/>
        <rFont val="Arial"/>
        <family val="2"/>
      </rPr>
      <t>(ACT FAST)</t>
    </r>
  </si>
  <si>
    <t>Month</t>
  </si>
  <si>
    <t>Secretarial and other support- Central Office</t>
  </si>
  <si>
    <t xml:space="preserve">Chief Finance Officer- Central Office </t>
  </si>
  <si>
    <t>Chief Coordinator- Central Office</t>
  </si>
  <si>
    <t>Trainiing</t>
  </si>
  <si>
    <t>6.2.5</t>
  </si>
  <si>
    <t>Meeting</t>
  </si>
  <si>
    <t>ACT JSL Meetings (travel costs for 2 meetings in Beirut)</t>
  </si>
  <si>
    <t>6.2.4</t>
  </si>
  <si>
    <t>Fuel/Travel cost between Amm &amp; Governorates</t>
  </si>
  <si>
    <t xml:space="preserve">Monitoring &amp; evaluation </t>
  </si>
  <si>
    <t xml:space="preserve">Evaluation &amp; feedback for staff training </t>
  </si>
  <si>
    <t>Lumpsum</t>
  </si>
  <si>
    <t>Emergency Preparedness</t>
  </si>
  <si>
    <t>Training</t>
  </si>
  <si>
    <t>Non Formal teaching&amp; counceling</t>
  </si>
  <si>
    <t>2.7.6</t>
  </si>
  <si>
    <t>Active Teaching</t>
  </si>
  <si>
    <t>2.7.5</t>
  </si>
  <si>
    <t>Kit</t>
  </si>
  <si>
    <t>Stationary Kits</t>
  </si>
  <si>
    <t>2.7.4</t>
  </si>
  <si>
    <t>Promotion of Girls Education - Teachers</t>
  </si>
  <si>
    <t>Promotion of Girls Education - Parents</t>
  </si>
  <si>
    <t>Promotion of Girls Education - Girls</t>
  </si>
  <si>
    <t>Capacity Building of CBO's &amp; CRO's</t>
  </si>
  <si>
    <t>2.6.11</t>
  </si>
  <si>
    <t>Community Development of CBO's &amp; CRO's</t>
  </si>
  <si>
    <t>2.6.10</t>
  </si>
  <si>
    <t>Capacity Building of Volunteers</t>
  </si>
  <si>
    <t>2.6.9</t>
  </si>
  <si>
    <t>Capacity Building of Board and Staff</t>
  </si>
  <si>
    <t>2.6.8</t>
  </si>
  <si>
    <t>Production Kitchens</t>
  </si>
  <si>
    <t>2.6.7</t>
  </si>
  <si>
    <t xml:space="preserve">Productive Homes (Home Gardens) </t>
  </si>
  <si>
    <t>2.6.6</t>
  </si>
  <si>
    <t>Home Economics</t>
  </si>
  <si>
    <t>2.6.5</t>
  </si>
  <si>
    <t>CFW</t>
  </si>
  <si>
    <t xml:space="preserve">Cash for work (30) refugees x 2 areas x 3 months </t>
  </si>
  <si>
    <t>Area Supervisor 2 * (3) Months</t>
  </si>
  <si>
    <t xml:space="preserve">Data Collection </t>
  </si>
  <si>
    <t xml:space="preserve">Formulate and train voluntary committees (2 committees) </t>
  </si>
  <si>
    <t>Survey</t>
  </si>
  <si>
    <t>Needs Assessment Survey</t>
  </si>
  <si>
    <t xml:space="preserve"> </t>
  </si>
  <si>
    <t>Cash for Work</t>
  </si>
  <si>
    <t>2.6.4</t>
  </si>
  <si>
    <t>Loans</t>
  </si>
  <si>
    <t>Loans to re-start ups SME</t>
  </si>
  <si>
    <t>Start Your Business</t>
  </si>
  <si>
    <t>Life Skills Sessions</t>
  </si>
  <si>
    <t>T.O.T Protection Program</t>
  </si>
  <si>
    <t>2.5.7</t>
  </si>
  <si>
    <t>Civic Education</t>
  </si>
  <si>
    <t>2.5.6</t>
  </si>
  <si>
    <t>SGBV</t>
  </si>
  <si>
    <t>2.5.5</t>
  </si>
  <si>
    <t>Youth Forums</t>
  </si>
  <si>
    <t>2.5.4</t>
  </si>
  <si>
    <t>Women Forums</t>
  </si>
  <si>
    <t>2.5.3</t>
  </si>
  <si>
    <t>Children Forums</t>
  </si>
  <si>
    <t>Psychosocial Sessions</t>
  </si>
  <si>
    <t>Mother Support Groups</t>
  </si>
  <si>
    <t>Referral</t>
  </si>
  <si>
    <t>Medical Referrals</t>
  </si>
  <si>
    <t>Session</t>
  </si>
  <si>
    <t>Health &amp; Nutrition Sessions</t>
  </si>
  <si>
    <t>Day</t>
  </si>
  <si>
    <t>Free Medical Days</t>
  </si>
  <si>
    <t>Parcel</t>
  </si>
  <si>
    <t xml:space="preserve">Technical Assisstance (3) </t>
  </si>
  <si>
    <t>Business Development Manager</t>
  </si>
  <si>
    <t>Field Coordinator</t>
  </si>
  <si>
    <t>Project Manager</t>
  </si>
  <si>
    <t>SYR191</t>
  </si>
  <si>
    <t>DSPR Jordan</t>
  </si>
  <si>
    <t>Exchange Rate: local currency to 1</t>
  </si>
  <si>
    <t xml:space="preserve">     Budget rate</t>
  </si>
  <si>
    <t>DSPRLebanon</t>
  </si>
  <si>
    <t>Syria 191</t>
  </si>
  <si>
    <t>LL</t>
  </si>
  <si>
    <t>Chief co'ordinator</t>
  </si>
  <si>
    <t>months</t>
  </si>
  <si>
    <t>Center program directors (4)</t>
  </si>
  <si>
    <t xml:space="preserve">Office director </t>
  </si>
  <si>
    <t>Secretarial support</t>
  </si>
  <si>
    <t>Book Keeping support</t>
  </si>
  <si>
    <t>Shelter and settlement / NFI/12 months</t>
  </si>
  <si>
    <t xml:space="preserve">Family </t>
  </si>
  <si>
    <t xml:space="preserve">FS item 1- </t>
  </si>
  <si>
    <t>voucher/family</t>
  </si>
  <si>
    <t>WASH item 1 4 times per year</t>
  </si>
  <si>
    <t>Psychosocial rehabilitation</t>
  </si>
  <si>
    <t>Sessions</t>
  </si>
  <si>
    <t>Recreational activities for children</t>
  </si>
  <si>
    <t>Activity</t>
  </si>
  <si>
    <t>Special celebrations</t>
  </si>
  <si>
    <t>Regular classes-Syrian curriculum</t>
  </si>
  <si>
    <t>Student</t>
  </si>
  <si>
    <t>Regular classes-Lebanese curriculum</t>
  </si>
  <si>
    <t>Informal classes -special advancement</t>
  </si>
  <si>
    <t xml:space="preserve">Official exams related expenses </t>
  </si>
  <si>
    <t>Lump sum</t>
  </si>
  <si>
    <t>Teachers' Workshops</t>
  </si>
  <si>
    <t>Transport &amp; accomodation -Syria</t>
  </si>
  <si>
    <t>Trip-Syria</t>
  </si>
  <si>
    <t>Other (Camp Management, demining, etc.)</t>
  </si>
  <si>
    <t xml:space="preserve">Lump Sum </t>
  </si>
  <si>
    <t>computer</t>
  </si>
  <si>
    <t>Printer</t>
  </si>
  <si>
    <t>Camera</t>
  </si>
  <si>
    <t xml:space="preserve">Security sustainability </t>
  </si>
  <si>
    <t>premise</t>
  </si>
  <si>
    <t>Staff salaries (50%)</t>
  </si>
  <si>
    <t>Salaries  for Central office director</t>
  </si>
  <si>
    <t>month</t>
  </si>
  <si>
    <t>Salariess for Central Office Finance Director)</t>
  </si>
  <si>
    <t xml:space="preserve">month </t>
  </si>
  <si>
    <t>At par with 1 USD</t>
  </si>
  <si>
    <t>MECC Syria</t>
  </si>
  <si>
    <t>Business start up &amp; resilience officer @ 50%</t>
  </si>
  <si>
    <t>Business start up &amp; resilience officer assistant @ 50%</t>
  </si>
  <si>
    <t>Coordination of education program @ 50%</t>
  </si>
  <si>
    <t>Coordinator of vocational training @ 50%</t>
  </si>
  <si>
    <t>Coordinator for health @ 50%</t>
  </si>
  <si>
    <t xml:space="preserve">Monitors in targeted areas ( 2 persons ) </t>
  </si>
  <si>
    <t>1.3.6.</t>
  </si>
  <si>
    <t>Civil Engineer @ 50% (WASH -CFW coordinator)</t>
  </si>
  <si>
    <t>1.3.7.</t>
  </si>
  <si>
    <t>Program coordinator @ 50%</t>
  </si>
  <si>
    <t>1.3.8.</t>
  </si>
  <si>
    <t>Program coordinator assistant/ area coordinator @ 50%</t>
  </si>
  <si>
    <t>WASH - Cash for Work - labor</t>
  </si>
  <si>
    <t>worker</t>
  </si>
  <si>
    <t>WASH - Cash for Work - material</t>
  </si>
  <si>
    <t>steel bin</t>
  </si>
  <si>
    <t>WASH - Cash for Work - other material</t>
  </si>
  <si>
    <t>WASH - School rehabilitation</t>
  </si>
  <si>
    <t>schools</t>
  </si>
  <si>
    <t>WASH - School hygeine promotion</t>
  </si>
  <si>
    <t>per student</t>
  </si>
  <si>
    <t>Medication for Cancer Patients</t>
  </si>
  <si>
    <t>patient</t>
  </si>
  <si>
    <t>Capacity building - protection</t>
  </si>
  <si>
    <t>beneficiary</t>
  </si>
  <si>
    <t>Vocational training</t>
  </si>
  <si>
    <t>Business start-up training</t>
  </si>
  <si>
    <t xml:space="preserve">Training on market assessment and feasibilty study </t>
  </si>
  <si>
    <t>Start-up kits</t>
  </si>
  <si>
    <t>Small financial grants</t>
  </si>
  <si>
    <t>Remedial classes</t>
  </si>
  <si>
    <t>student</t>
  </si>
  <si>
    <t>Tuition fees</t>
  </si>
  <si>
    <t>Multipurpose CASH grants</t>
  </si>
  <si>
    <t>CG item 1</t>
  </si>
  <si>
    <t>CG item 2</t>
  </si>
  <si>
    <t>CG item 3</t>
  </si>
  <si>
    <t>CG item 4</t>
  </si>
  <si>
    <t>CG item 5</t>
  </si>
  <si>
    <t>Other sector (camp management, etc.)</t>
  </si>
  <si>
    <t>OS item 1</t>
  </si>
  <si>
    <t>OS item 2</t>
  </si>
  <si>
    <t>OS item 3</t>
  </si>
  <si>
    <t>OS item 4</t>
  </si>
  <si>
    <t>OS item 5</t>
  </si>
  <si>
    <t>lumpsum</t>
  </si>
  <si>
    <t>unit</t>
  </si>
  <si>
    <t>Capacity Building</t>
  </si>
  <si>
    <t>6.4.</t>
  </si>
  <si>
    <t>SUPPORT BY ACT SECRETARIAT</t>
  </si>
  <si>
    <t>6.4.1.</t>
  </si>
  <si>
    <t>Support to Appeal by ACT Secretariat</t>
  </si>
  <si>
    <t>Salaries % 25 for ERS Director - Regional)</t>
  </si>
  <si>
    <t>Salaries % 50 for ERS Syria)</t>
  </si>
  <si>
    <t>Salaries % 50 for Finance Director - Syria)</t>
  </si>
  <si>
    <t>Salaries % 50 for Accountant - Syria)</t>
  </si>
  <si>
    <t>Salaries % 50 for Reporting)</t>
  </si>
  <si>
    <t>Salaries % 50 for M&amp;E)</t>
  </si>
  <si>
    <t>Salaries for other admin or secretarial staff 3 persons @ 50%)</t>
  </si>
  <si>
    <t>Office rent @ 20%</t>
  </si>
  <si>
    <t>Office Utilities @ 20%</t>
  </si>
  <si>
    <t>Insurance/contingency</t>
  </si>
  <si>
    <t>computer 1</t>
  </si>
  <si>
    <t>MECC use for future activities</t>
  </si>
  <si>
    <t>computer 2</t>
  </si>
  <si>
    <t xml:space="preserve">Communications equipment - video camera
</t>
  </si>
  <si>
    <t>MECC Lebanon</t>
  </si>
  <si>
    <t>Social workers (1 full time)</t>
  </si>
  <si>
    <t>Field monitors &amp; Assistants - Education (2)</t>
  </si>
  <si>
    <t>Field monitors &amp; Assistants - Health</t>
  </si>
  <si>
    <t>Field monitors &amp; Assistants - PSS &amp; livelihood</t>
  </si>
  <si>
    <t xml:space="preserve">Treatment for Cancer patients </t>
  </si>
  <si>
    <t>cycle/patient</t>
  </si>
  <si>
    <t>Health awareness for women</t>
  </si>
  <si>
    <t>women</t>
  </si>
  <si>
    <t>Hygiene kits for women</t>
  </si>
  <si>
    <t>Dignity kits for women</t>
  </si>
  <si>
    <t>Psychosocial support sessions (women)</t>
  </si>
  <si>
    <t>Vocational Training</t>
  </si>
  <si>
    <t>Paranursing &amp; caregivers</t>
  </si>
  <si>
    <t>Out of School</t>
  </si>
  <si>
    <t>Child safeguarding policy/training for educators</t>
  </si>
  <si>
    <t>School hygiene kits</t>
  </si>
  <si>
    <t>monthly</t>
  </si>
  <si>
    <t>ACT JSL Meetings (2 staff attending meeting in Amman)</t>
  </si>
  <si>
    <t>Capacity Building - staff travel to CB</t>
  </si>
  <si>
    <t>Capacity Building - MECC hosting CB</t>
  </si>
  <si>
    <t>Salaries %50 for ERS Lebanon - Director)</t>
  </si>
  <si>
    <t>Salaries %25 for ERS Regional)</t>
  </si>
  <si>
    <t>Salaries %20 for Office Director - HO)</t>
  </si>
  <si>
    <t>Salaries %30 for Finance Director - HO)</t>
  </si>
  <si>
    <t>Salaries %40 for Accountant - HO)</t>
  </si>
  <si>
    <t>Salaries %15 for cashier -HO</t>
  </si>
  <si>
    <t>Insurance/ contingency</t>
  </si>
  <si>
    <t>IOCC Jordan</t>
  </si>
  <si>
    <t>JOD</t>
  </si>
  <si>
    <t>Field Coordinator (1) (50%)</t>
  </si>
  <si>
    <t>Project Assistant (1) (100%)</t>
  </si>
  <si>
    <t>Azraq Camp Focal Point (1) (50%)</t>
  </si>
  <si>
    <t>Project Officer (1) (50%)</t>
  </si>
  <si>
    <t>Awareness Sessions/Distributions of Rent</t>
  </si>
  <si>
    <t>sessions</t>
  </si>
  <si>
    <t>days</t>
  </si>
  <si>
    <t>parcels</t>
  </si>
  <si>
    <t>vouchers</t>
  </si>
  <si>
    <t>Coordination Fees for Vouchers</t>
  </si>
  <si>
    <t xml:space="preserve">Container of Hygiene Kit Gifts-in-Kind </t>
  </si>
  <si>
    <t>container</t>
  </si>
  <si>
    <t>Awareness Sessions on Health, Hygiene, IYCF, and/or Malnutrition Prevention (400 participants)</t>
  </si>
  <si>
    <t>Community Health Volunteers (5 people x 30 days)</t>
  </si>
  <si>
    <t>CBRW + Volunteer Incentives (11 people x 20 days/month x 10 months)</t>
  </si>
  <si>
    <t>CBRW/Volunteer Training</t>
  </si>
  <si>
    <t>Assistive Devices:  Glasses (300 pairs)</t>
  </si>
  <si>
    <t>glasses</t>
  </si>
  <si>
    <t>Assistive Devices:  Hearing Aids and Batteries (54 hearing aids for 30 people)</t>
  </si>
  <si>
    <t>hearing aids</t>
  </si>
  <si>
    <t>Batteries for Hearing Aid Users (48 per year for 200 hearing aids)</t>
  </si>
  <si>
    <t>batteries</t>
  </si>
  <si>
    <t>2.5.6.</t>
  </si>
  <si>
    <t>Community Awareness Sessions (for 150 people)</t>
  </si>
  <si>
    <t>2.5.7.</t>
  </si>
  <si>
    <t>Doctor/Specialists Consultations for PWD (including transportation outside of the camp) (20 cases)</t>
  </si>
  <si>
    <t>consultations</t>
  </si>
  <si>
    <t>2.5.8.</t>
  </si>
  <si>
    <t>Specialized Medical Treatment for PWD (including transportation outside of the camp) (10 cases)</t>
  </si>
  <si>
    <t>treatment</t>
  </si>
  <si>
    <t>2.5.9.</t>
  </si>
  <si>
    <t>Maintenance and Repair of Wheelchairs and Mobility Aids</t>
  </si>
  <si>
    <t>cases</t>
  </si>
  <si>
    <t>Container of School Kits/Gifts-in-Kind</t>
  </si>
  <si>
    <t>3.1.1.</t>
  </si>
  <si>
    <t>3.1.2</t>
  </si>
  <si>
    <t>3.1.3.</t>
  </si>
  <si>
    <t>3.1.4.</t>
  </si>
  <si>
    <t>3.1.5</t>
  </si>
  <si>
    <t>3.1.6.</t>
  </si>
  <si>
    <t>3.1.7.</t>
  </si>
  <si>
    <t>3.1.8</t>
  </si>
  <si>
    <t>3.1.9.</t>
  </si>
  <si>
    <t>3.2.1.</t>
  </si>
  <si>
    <t>lump sum</t>
  </si>
  <si>
    <t>3.2.2.</t>
  </si>
  <si>
    <t>Capacity Building of Local Staff</t>
  </si>
  <si>
    <t>training</t>
  </si>
  <si>
    <t xml:space="preserve">4.1.1. </t>
  </si>
  <si>
    <t>Hire/ Rental of Vehicles (1) (100%)</t>
  </si>
  <si>
    <t xml:space="preserve">4.1.2. </t>
  </si>
  <si>
    <t>Fuel, Vehicle Maintenance &amp; Parking (100%)</t>
  </si>
  <si>
    <t>4.1.3.</t>
  </si>
  <si>
    <t>Rental of warehouse (GIK, Ocean Freight, ITSH, and Trucking)</t>
  </si>
  <si>
    <t>4.1.4.</t>
  </si>
  <si>
    <t>4.1.5.</t>
  </si>
  <si>
    <t>Salaries for Logistician/Procurement Officer (20%)</t>
  </si>
  <si>
    <t>4.1.6.</t>
  </si>
  <si>
    <t>4.1.7.</t>
  </si>
  <si>
    <t>Salaries / wages for Drivers (50%)</t>
  </si>
  <si>
    <t>4.1.8.</t>
  </si>
  <si>
    <t>Travel (in-country)</t>
  </si>
  <si>
    <t>4.1.9.</t>
  </si>
  <si>
    <t>Accomodation</t>
  </si>
  <si>
    <t>5.1.1.</t>
  </si>
  <si>
    <t>Computer + Related Supplies/ Accessories</t>
  </si>
  <si>
    <t>5.1.2.</t>
  </si>
  <si>
    <t>5.1.3.</t>
  </si>
  <si>
    <t>5.1.4.</t>
  </si>
  <si>
    <t>5.1.5.</t>
  </si>
  <si>
    <t>Camera + Related Accessories</t>
  </si>
  <si>
    <t>Site enhancements (fire alarm system) (50%)</t>
  </si>
  <si>
    <t>6.2.5.</t>
  </si>
  <si>
    <t>ACT Forum Meetings (2 staff x 1 meetings)</t>
  </si>
  <si>
    <t>trips</t>
  </si>
  <si>
    <t>7.1.1</t>
  </si>
  <si>
    <t>7.1.2</t>
  </si>
  <si>
    <t xml:space="preserve">Finance Coordinator (1) (20%) </t>
  </si>
  <si>
    <t>7.1.3</t>
  </si>
  <si>
    <t>Finance Assistant (1) (20%)</t>
  </si>
  <si>
    <t>7.1.4</t>
  </si>
  <si>
    <t xml:space="preserve">Administrative Assistant (1) (20%) </t>
  </si>
  <si>
    <t>7.1.5</t>
  </si>
  <si>
    <t>7.1.6</t>
  </si>
  <si>
    <t>Office Utilities (20%)</t>
  </si>
  <si>
    <t>7.1.7</t>
  </si>
  <si>
    <t>Office Stationary and Supplies (20%)</t>
  </si>
  <si>
    <t>Computer &amp; Printer Supplies (20%)</t>
  </si>
  <si>
    <t>7.2.1</t>
  </si>
  <si>
    <t>Telephone and fax (20%)</t>
  </si>
  <si>
    <t>7.2.2</t>
  </si>
  <si>
    <t>7.2.3</t>
  </si>
  <si>
    <t>Legal Fees (20%)</t>
  </si>
  <si>
    <t>7.2.4</t>
  </si>
  <si>
    <t>Bank Charges (20%)</t>
  </si>
  <si>
    <t>7.2.5</t>
  </si>
  <si>
    <t>Insurance (20%)</t>
  </si>
  <si>
    <t>Computer + Related Supplies/Accessories</t>
  </si>
  <si>
    <t>Computer and related accessories will continue to be used by IOCC staff in implementation of future activities.</t>
  </si>
  <si>
    <t>Camera and related accessories will continue to be used by IOCC staff in implementation of future activities.</t>
  </si>
  <si>
    <t>IOCC Syria</t>
  </si>
  <si>
    <t>1.3.1</t>
  </si>
  <si>
    <t>Program Director (1) (5%) DERD</t>
  </si>
  <si>
    <t xml:space="preserve">partner requested this be confidential </t>
  </si>
  <si>
    <t>1.3.2</t>
  </si>
  <si>
    <t>Program Manager (1)  (20%) DERD</t>
  </si>
  <si>
    <t>1.3.3</t>
  </si>
  <si>
    <t>Project Coordinator - Distribution/Shelter (1)  (20%) DERD</t>
  </si>
  <si>
    <t>1.3.4</t>
  </si>
  <si>
    <t>Project Coordinator - Education (1)  (20%) DERD</t>
  </si>
  <si>
    <t>1.3.5</t>
  </si>
  <si>
    <t>Project Coordinator - Health (1)  (20%) DERD</t>
  </si>
  <si>
    <t>1.3.6</t>
  </si>
  <si>
    <t>Monitoring, Evaluation and Learning Officer (1) (10%) IOCC</t>
  </si>
  <si>
    <t>1.3.7</t>
  </si>
  <si>
    <t>Finance Program Coordinator (1) (10%) IOCC</t>
  </si>
  <si>
    <t>Bedding</t>
  </si>
  <si>
    <t>parcel</t>
  </si>
  <si>
    <t>Clothing</t>
  </si>
  <si>
    <t>Hygiene</t>
  </si>
  <si>
    <t>Rent Assistance (3 months)</t>
  </si>
  <si>
    <t>families</t>
  </si>
  <si>
    <t>Food</t>
  </si>
  <si>
    <t>Subsidised surgeries</t>
  </si>
  <si>
    <t>surgeries</t>
  </si>
  <si>
    <t>Subsidised deliveries</t>
  </si>
  <si>
    <t>deliveries</t>
  </si>
  <si>
    <t>Tuition &amp; Fees Support</t>
  </si>
  <si>
    <t>Remedial Courses</t>
  </si>
  <si>
    <t>3.1.1</t>
  </si>
  <si>
    <t>3.2. 1</t>
  </si>
  <si>
    <t>3.3.3</t>
  </si>
  <si>
    <t>3.4.4</t>
  </si>
  <si>
    <t>3.5.5</t>
  </si>
  <si>
    <t>3.6.6</t>
  </si>
  <si>
    <t>3.7.7</t>
  </si>
  <si>
    <t>3.8.8</t>
  </si>
  <si>
    <t>3.9.9</t>
  </si>
  <si>
    <t>3.1.10</t>
  </si>
  <si>
    <t>4.1. 1</t>
  </si>
  <si>
    <t>4.2. 2</t>
  </si>
  <si>
    <t>4.3..3</t>
  </si>
  <si>
    <t>4.4.4</t>
  </si>
  <si>
    <t>4.5.5</t>
  </si>
  <si>
    <t>4.6.6</t>
  </si>
  <si>
    <t>4.7.7</t>
  </si>
  <si>
    <t>4.8.8</t>
  </si>
  <si>
    <t>4.9.9</t>
  </si>
  <si>
    <t>5.1.1</t>
  </si>
  <si>
    <t>5.2.2</t>
  </si>
  <si>
    <t>5.3.3</t>
  </si>
  <si>
    <t>5.4.4</t>
  </si>
  <si>
    <t>5.5.5</t>
  </si>
  <si>
    <t>Lump Sum</t>
  </si>
  <si>
    <t>Trip</t>
  </si>
  <si>
    <t>Country Representative (1) (10%)</t>
  </si>
  <si>
    <t>Program Manager (1) (10%)</t>
  </si>
  <si>
    <t>Grants Coordinator (10%)</t>
  </si>
  <si>
    <t xml:space="preserve">Finance Manager (1) (10%) </t>
  </si>
  <si>
    <t>ACT APPEAL IOCC Lebanon Financial Reporting</t>
  </si>
  <si>
    <t>Oanda Currency Converter (2018.12.12)</t>
  </si>
  <si>
    <t>IOCC Lebanon</t>
  </si>
  <si>
    <t>Project Coordinator (1)  (15%)</t>
  </si>
  <si>
    <t>Field Officers (2)  (15%)</t>
  </si>
  <si>
    <t>Technical Assistants (3) Business Recovery Services Program</t>
  </si>
  <si>
    <t>WASH activity (infrastructire water systems for the host community or the ITS, such as network or reservoir, in addition to hygiene promotion)</t>
  </si>
  <si>
    <t>Community</t>
  </si>
  <si>
    <t>Primary Secondary health care through subsidized medical care to pregnant women and newborn (2,500 beneficiaries)</t>
  </si>
  <si>
    <t>consultaton</t>
  </si>
  <si>
    <t xml:space="preserve">Livelihood support (cash for work opportunities, each project is for 6 months for 200 beneficiaries) </t>
  </si>
  <si>
    <t>project</t>
  </si>
  <si>
    <t>2.6.2</t>
  </si>
  <si>
    <t>financial and technical support for SMEs</t>
  </si>
  <si>
    <t>SME</t>
  </si>
  <si>
    <t>education support for 70 out of school children</t>
  </si>
  <si>
    <t>Other sectors (camp management, etc.)</t>
  </si>
  <si>
    <t>3.7.1</t>
  </si>
  <si>
    <t>3.8.1</t>
  </si>
  <si>
    <t>lump</t>
  </si>
  <si>
    <t>3.9.1</t>
  </si>
  <si>
    <t>Capacity Building for staff</t>
  </si>
  <si>
    <t>3.10.1</t>
  </si>
  <si>
    <t>Staff Care</t>
  </si>
  <si>
    <t>4.5.1</t>
  </si>
  <si>
    <t>Salaries for Logistician/Procurement Officer (1)(5%)</t>
  </si>
  <si>
    <t>Meetings</t>
  </si>
  <si>
    <t xml:space="preserve">Capacity Building  ( 1 staff attending 1 trainings in Amman) </t>
  </si>
  <si>
    <t>workshop</t>
  </si>
  <si>
    <t>Country Representative 1 (5%)</t>
  </si>
  <si>
    <t>Director of Programs 1 (5%)</t>
  </si>
  <si>
    <t>Operation Manager (1) (5%)</t>
  </si>
  <si>
    <t>Communication Officer (1) (5%)</t>
  </si>
  <si>
    <t>Personnel Manager  (1) (5%)</t>
  </si>
  <si>
    <t>Administrative Assistant (1)  (5%)</t>
  </si>
  <si>
    <t>Finance Manager (1) (5%)</t>
  </si>
  <si>
    <t>Security officer (1) (5%)</t>
  </si>
  <si>
    <t>Information Officer  (1)  (5%)</t>
  </si>
  <si>
    <t>Office Assistant/Driver (1)  (5%)</t>
  </si>
  <si>
    <t>Accountant (1)  (5%)</t>
  </si>
  <si>
    <t>Office rent (5%)</t>
  </si>
  <si>
    <t>Office Utilities (5%)</t>
  </si>
  <si>
    <t>Office stationery (5%)</t>
  </si>
  <si>
    <t>Telephone and fax (5%)</t>
  </si>
  <si>
    <t>Bank Charges</t>
  </si>
  <si>
    <t>Legal Fees</t>
  </si>
  <si>
    <t>Visibility (logos, stickers on distribution items etc.)</t>
  </si>
  <si>
    <t>Oanda Currency Converter (2017.12.12)</t>
  </si>
  <si>
    <t>LWF Jordan</t>
  </si>
  <si>
    <t>SYR181</t>
  </si>
  <si>
    <t>1/monthly</t>
  </si>
  <si>
    <t>1.2.1</t>
  </si>
  <si>
    <t>Program Coordinator (25%)</t>
  </si>
  <si>
    <t>1.2.2</t>
  </si>
  <si>
    <t>Livelihoods advisor (30%)</t>
  </si>
  <si>
    <t>1.2.3</t>
  </si>
  <si>
    <t>Protection advisor (30%)</t>
  </si>
  <si>
    <t>Protect  Assistant zaatari (100%)</t>
  </si>
  <si>
    <t>Zaatari Manager (100%)</t>
  </si>
  <si>
    <t>Case Management Assistant Irbid  (50%)</t>
  </si>
  <si>
    <t>Protection Assistant/Irbid (60%)</t>
  </si>
  <si>
    <t>Psychoscial Counsellor Officer Irbid (100%)</t>
  </si>
  <si>
    <t>Senior Protection Officer (60%)</t>
  </si>
  <si>
    <t>Irbid Area manager (30%)</t>
  </si>
  <si>
    <t>1.3.8</t>
  </si>
  <si>
    <t>Senior Agriculture Officer/Irbid (100%)</t>
  </si>
  <si>
    <t>1.3.9</t>
  </si>
  <si>
    <t>Livelihoods Assistants Irbid (100%)</t>
  </si>
  <si>
    <t>2/monthly</t>
  </si>
  <si>
    <t>1.3.10</t>
  </si>
  <si>
    <t>Cash Project/M&amp;E Officer (30%)</t>
  </si>
  <si>
    <t>1.3.11</t>
  </si>
  <si>
    <t>Roving Assessor/M&amp;E (50%)</t>
  </si>
  <si>
    <t>1.3.12</t>
  </si>
  <si>
    <t>Partnership &amp; Liasion Senior Officer (30%)</t>
  </si>
  <si>
    <t>1.3.13</t>
  </si>
  <si>
    <t>Project Support Officer (30%)</t>
  </si>
  <si>
    <t>1.3.14</t>
  </si>
  <si>
    <t>Za'atari and Irbid Driver 2 people</t>
  </si>
  <si>
    <t>1.3.15</t>
  </si>
  <si>
    <t>Guards 2 people 50%</t>
  </si>
  <si>
    <t>2.5.1</t>
  </si>
  <si>
    <t>IDEAL classes for children - Zaatari</t>
  </si>
  <si>
    <t>groups</t>
  </si>
  <si>
    <t>2.5.2</t>
  </si>
  <si>
    <t>English courses -Zaatari</t>
  </si>
  <si>
    <t>Caregiver Sessions -Zaatari</t>
  </si>
  <si>
    <t>Staff IDEAL Curriculum training -Zaatari</t>
  </si>
  <si>
    <t>each</t>
  </si>
  <si>
    <t>Recreational Activities- Zaatari</t>
  </si>
  <si>
    <t>Running costs -Zaatari</t>
  </si>
  <si>
    <t>Cash for work -Zaatari</t>
  </si>
  <si>
    <t>Guards</t>
  </si>
  <si>
    <t>Facilitators</t>
  </si>
  <si>
    <t>Team leaders</t>
  </si>
  <si>
    <t>IT Admin</t>
  </si>
  <si>
    <t>Cleaners</t>
  </si>
  <si>
    <t>2.5.8</t>
  </si>
  <si>
    <t>Cash for worker development</t>
  </si>
  <si>
    <t>trainings</t>
  </si>
  <si>
    <t>2.5.9</t>
  </si>
  <si>
    <t>IDEAL classes for children - Irbid</t>
  </si>
  <si>
    <t>2.5.10</t>
  </si>
  <si>
    <t>Caregiver Sessions  -Irbid</t>
  </si>
  <si>
    <t>2.5.11</t>
  </si>
  <si>
    <t>Women's Support Groups  - Irbid</t>
  </si>
  <si>
    <t>2.5.12</t>
  </si>
  <si>
    <t>Child Protection Committees  - Irbid</t>
  </si>
  <si>
    <t>meetings</t>
  </si>
  <si>
    <t>2.5.13</t>
  </si>
  <si>
    <t>Awareness Raising - Irbid</t>
  </si>
  <si>
    <t>events</t>
  </si>
  <si>
    <t>2.5.14</t>
  </si>
  <si>
    <t xml:space="preserve">Recreational Activities- Irbid </t>
  </si>
  <si>
    <t>2.5.15</t>
  </si>
  <si>
    <t>2.5.16</t>
  </si>
  <si>
    <t>Assessments- Irbid</t>
  </si>
  <si>
    <t>assessments</t>
  </si>
  <si>
    <t>2.5.17</t>
  </si>
  <si>
    <t xml:space="preserve">Cash for work -Irbid </t>
  </si>
  <si>
    <t>2.5.18</t>
  </si>
  <si>
    <t>Running Costs -Irbid</t>
  </si>
  <si>
    <t>2.6.1</t>
  </si>
  <si>
    <t xml:space="preserve">Subsistence farmers trained in permaculture </t>
  </si>
  <si>
    <t>people</t>
  </si>
  <si>
    <t xml:space="preserve">Provision of permaculture inputs for farmers </t>
  </si>
  <si>
    <t xml:space="preserve">people </t>
  </si>
  <si>
    <t>2.6.3</t>
  </si>
  <si>
    <t xml:space="preserve">Training of 50 women in business and markeing , business plan development </t>
  </si>
  <si>
    <t>Provision of start up kits / grants and market linkages activities</t>
  </si>
  <si>
    <t xml:space="preserve">Establishment of youth employment center </t>
  </si>
  <si>
    <t xml:space="preserve">units </t>
  </si>
  <si>
    <t>cash for work volunteers (6 part time at 125 each)</t>
  </si>
  <si>
    <t>Cash for Education</t>
  </si>
  <si>
    <t>HH</t>
  </si>
  <si>
    <t>lump sump</t>
  </si>
  <si>
    <t>Staff Trainings</t>
  </si>
  <si>
    <t>Beneficiary transportation in Irbid</t>
  </si>
  <si>
    <t xml:space="preserve">Wages for Security/ Guards </t>
  </si>
  <si>
    <t>each/items</t>
  </si>
  <si>
    <t>Workshops</t>
  </si>
  <si>
    <t>Capacity Building (Hosting a workshop)</t>
  </si>
  <si>
    <t>partner</t>
  </si>
  <si>
    <t>Salaries 20% for Grants Manager</t>
  </si>
  <si>
    <t>office costs</t>
  </si>
  <si>
    <t>Laptops</t>
  </si>
  <si>
    <t>JOD 800</t>
  </si>
  <si>
    <t>JOD 3600</t>
  </si>
  <si>
    <t>USD to Syrian pound rate</t>
  </si>
  <si>
    <t xml:space="preserve">beneficaries </t>
  </si>
  <si>
    <t xml:space="preserve">WASH Advisor </t>
  </si>
  <si>
    <t xml:space="preserve">Protection Advisor </t>
  </si>
  <si>
    <t xml:space="preserve">Livelihoods Advisor </t>
  </si>
  <si>
    <t>M&amp;E manager</t>
  </si>
  <si>
    <t>Partnership officer- Jordan</t>
  </si>
  <si>
    <t>Project officer - syria (3)</t>
  </si>
  <si>
    <t>field works (6)</t>
  </si>
  <si>
    <t>Assessors (12)</t>
  </si>
  <si>
    <t xml:space="preserve">Emergency Cash for rent </t>
  </si>
  <si>
    <t>Households</t>
  </si>
  <si>
    <t xml:space="preserve">Winterization kits </t>
  </si>
  <si>
    <t>households</t>
  </si>
  <si>
    <t>Emergemcy starter NFI kit</t>
  </si>
  <si>
    <t xml:space="preserve">Personal NFI clothing </t>
  </si>
  <si>
    <t>person</t>
  </si>
  <si>
    <t xml:space="preserve">Sumerization kits </t>
  </si>
  <si>
    <t xml:space="preserve">Food security </t>
  </si>
  <si>
    <t>Work for Food program</t>
  </si>
  <si>
    <t>Nutrition awareness sessions</t>
  </si>
  <si>
    <t xml:space="preserve">Hygine kits </t>
  </si>
  <si>
    <t xml:space="preserve">Baby kits </t>
  </si>
  <si>
    <t>Dignity kit</t>
  </si>
  <si>
    <t>People</t>
  </si>
  <si>
    <t xml:space="preserve">Water infrustructure </t>
  </si>
  <si>
    <t>village</t>
  </si>
  <si>
    <t xml:space="preserve">PSS children programing </t>
  </si>
  <si>
    <t>PSS womens groups</t>
  </si>
  <si>
    <t>PSS mens groups</t>
  </si>
  <si>
    <t xml:space="preserve">PSS youth engagement  events </t>
  </si>
  <si>
    <t xml:space="preserve">events </t>
  </si>
  <si>
    <t>PSS incentive workers (8)</t>
  </si>
  <si>
    <t>Cash for work</t>
  </si>
  <si>
    <t xml:space="preserve">Womens self help groups </t>
  </si>
  <si>
    <t>small buisness revolving funds</t>
  </si>
  <si>
    <t xml:space="preserve">buisnesses </t>
  </si>
  <si>
    <t>School rehabilitation</t>
  </si>
  <si>
    <t>school</t>
  </si>
  <si>
    <t xml:space="preserve">school kits </t>
  </si>
  <si>
    <t>Hire/ Rental of Vehicles (4)</t>
  </si>
  <si>
    <t xml:space="preserve">Monthly </t>
  </si>
  <si>
    <t>Fuel (5)</t>
  </si>
  <si>
    <t>Salaries for Logistician/Procurement Officer (2)</t>
  </si>
  <si>
    <t xml:space="preserve">monthly </t>
  </si>
  <si>
    <t>vehicle</t>
  </si>
  <si>
    <t xml:space="preserve">trainings </t>
  </si>
  <si>
    <t xml:space="preserve">Other admin costs </t>
  </si>
  <si>
    <t>HEKS/EPER</t>
  </si>
  <si>
    <t xml:space="preserve">HEKS Country Delegate salary </t>
  </si>
  <si>
    <t>HEKS Senior Program Manager</t>
  </si>
  <si>
    <t xml:space="preserve">HEKS Financial Controller </t>
  </si>
  <si>
    <t xml:space="preserve">Project manager - Engineer </t>
  </si>
  <si>
    <t>Najdeh Emergency Program Officer</t>
  </si>
  <si>
    <t>Rehabilition 84 shelters @ 750 USD/ shelter</t>
  </si>
  <si>
    <t>336 skilled labour for shelter rehabilitation</t>
  </si>
  <si>
    <t xml:space="preserve">Insurance and other Admin costs </t>
  </si>
  <si>
    <t>overhead -Central Office</t>
  </si>
  <si>
    <t>I included repairs and maintenance with rent to simplify reporting</t>
  </si>
  <si>
    <t>Office Rent Repairs and Maintenance (20%)</t>
  </si>
  <si>
    <t>7.2.6</t>
  </si>
  <si>
    <t>Salaries 23% for Finance Manager</t>
  </si>
  <si>
    <t>Salaries 23% for Country Representative</t>
  </si>
  <si>
    <t xml:space="preserve">Site Monitor/ Engineer (1) (30%) </t>
  </si>
  <si>
    <t xml:space="preserve">Field Coordinator (1) (30%) </t>
  </si>
  <si>
    <t>M&amp;E Officer (1) (50%)</t>
  </si>
  <si>
    <t>Cash-for-Rent (150 households)</t>
  </si>
  <si>
    <t>Community Outreach Volunteers (5 people x 20 days)</t>
  </si>
  <si>
    <t>Country Representative (1) (20%)</t>
  </si>
  <si>
    <t>Food parcels (60 households)</t>
  </si>
  <si>
    <t>Food vouchers (60 households for 3 months)</t>
  </si>
  <si>
    <t>Community Outreach Volunteers (5 people x 12 days)</t>
  </si>
  <si>
    <t>Vehicle</t>
  </si>
  <si>
    <t>Vehicle will continue to be used by IOCC staff in implementation of future activities.  Portion of vehicle costs will be covered by other IOCC funds and projects.</t>
  </si>
  <si>
    <t>Equipping of Hearing and Visual Labs in Azraq Camp</t>
  </si>
  <si>
    <t xml:space="preserve">in lebenon </t>
  </si>
  <si>
    <t xml:space="preserve">there will just be one meeting in lebenon this year </t>
  </si>
  <si>
    <t>this is for forum trainings only, staff trainings or CBO trainings for below in 6.3</t>
  </si>
  <si>
    <t xml:space="preserve">we would like to do a few day review of the appeal and start up of the next so we are adding in a tentative 3 day appeal meeting in jordan. Jordan members don’t need to pay anything. </t>
  </si>
  <si>
    <t>This was added as joint activity for appeal.</t>
  </si>
  <si>
    <t xml:space="preserve">forum meetings </t>
  </si>
  <si>
    <t xml:space="preserve">this was added for the bi annual jsl meeting as it will be in amman this year and not lebenon </t>
  </si>
  <si>
    <t>it as reqested that member adds in 1000 USD for mid term review. This will come from undesignated funds in the appeal</t>
  </si>
  <si>
    <t xml:space="preserve">JSL meeting </t>
  </si>
  <si>
    <t>it as reqested that member adds in 1000 USD for the JSL meeting not held in their country. This will come from undesignated funds in the appeal</t>
  </si>
  <si>
    <t xml:space="preserve">Humanitarian Response for People Affected by the Syrian Conflict </t>
  </si>
  <si>
    <t>January 1st 2019-December 31st 2019</t>
  </si>
  <si>
    <t>decided on one meeting</t>
  </si>
  <si>
    <t>im assuming this is the JSL training speciic, staff trainings non JSL are supposed to be under activities unless offered to full forum.</t>
  </si>
  <si>
    <t xml:space="preserve">Annual meetings </t>
  </si>
  <si>
    <t>added in meeting in amman for appeal workshop.</t>
  </si>
  <si>
    <t>you were using the wrong template so act funds go here according to Omar at ACT.</t>
  </si>
  <si>
    <t xml:space="preserve">moved annual meetings to 6.2.5 to be consistant with partners. </t>
  </si>
  <si>
    <t>trip</t>
  </si>
  <si>
    <t>Added in for start of next years appeal workshop</t>
  </si>
  <si>
    <t>this can only be Forum trainings for staff is this for the forum? If not it should be added elsewhere</t>
  </si>
  <si>
    <t xml:space="preserve">annual meetings </t>
  </si>
  <si>
    <t xml:space="preserve">meetings </t>
  </si>
  <si>
    <t xml:space="preserve">meeting host </t>
  </si>
  <si>
    <t>member</t>
  </si>
  <si>
    <t>first to come out of appeal as joint programing</t>
  </si>
  <si>
    <t>midterm workshop and appeal meeting next year added in agreement with appeal working group</t>
  </si>
  <si>
    <t xml:space="preserve">there is now only  1 meeting in amman and 1 meeting in Lebenon so could be reduced </t>
  </si>
  <si>
    <t>this is ok as log as it is a forum training for JSL staff, if its not then should be moved to activities area.</t>
  </si>
  <si>
    <t>this is only for JSL events s o please confirm that this is it</t>
  </si>
  <si>
    <t>DSPR J</t>
  </si>
  <si>
    <t>DSPR- L</t>
  </si>
  <si>
    <t>HEKS-L</t>
  </si>
  <si>
    <t>IOCC-J</t>
  </si>
  <si>
    <t>IOCC-S</t>
  </si>
  <si>
    <t>IOCC-L</t>
  </si>
  <si>
    <t>LWF-J</t>
  </si>
  <si>
    <t>LWF-S</t>
  </si>
  <si>
    <t>MECC-L</t>
  </si>
  <si>
    <t>MECC-S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</si>
</sst>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#,##0.0"/>
    <numFmt numFmtId="168" formatCode="#,##0.000"/>
    <numFmt numFmtId="169" formatCode="#,##0.00000"/>
    <numFmt numFmtId="170" formatCode="yyyy\-mm\-dd;@"/>
    <numFmt numFmtId="171" formatCode="_(&quot;$&quot;* #,##0_);_(&quot;$&quot;* \(#,##0\);_(&quot;$&quot;* &quot;-&quot;??_);_(@_)"/>
    <numFmt numFmtId="172" formatCode="#,##0\ ;\(#,##0\);\-#\ ;@\ "/>
    <numFmt numFmtId="173" formatCode="[=0]\-#\ ;[&lt;0]\(#,##0\);#,##0\ ;@\ "/>
    <numFmt numFmtId="174" formatCode="#,##0.0000000"/>
    <numFmt numFmtId="175" formatCode="#,##0.0000000000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 val="singleAccounting"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i/>
      <sz val="8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rgb="FF00000A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rgb="FF0070C0"/>
      </patternFill>
    </fill>
    <fill>
      <patternFill patternType="lightUp">
        <fgColor rgb="FF0070C0"/>
        <bgColor theme="0"/>
      </patternFill>
    </fill>
    <fill>
      <patternFill patternType="solid">
        <fgColor rgb="FFFFCC99"/>
        <bgColor rgb="FFFAC09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AC09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3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164" fontId="25" fillId="0" borderId="0" applyFont="0" applyFill="0" applyBorder="0" applyAlignment="0" applyProtection="0"/>
  </cellStyleXfs>
  <cellXfs count="873">
    <xf numFmtId="0" fontId="0" fillId="0" borderId="0" xfId="0"/>
    <xf numFmtId="4" fontId="0" fillId="0" borderId="0" xfId="0" applyNumberFormat="1" applyBorder="1" applyProtection="1"/>
    <xf numFmtId="4" fontId="4" fillId="0" borderId="0" xfId="1" applyNumberFormat="1" applyFont="1" applyFill="1" applyProtection="1"/>
    <xf numFmtId="3" fontId="4" fillId="0" borderId="0" xfId="1" applyNumberFormat="1" applyFont="1" applyFill="1" applyBorder="1" applyProtection="1"/>
    <xf numFmtId="4" fontId="4" fillId="0" borderId="0" xfId="1" applyNumberFormat="1" applyFont="1" applyFill="1" applyBorder="1" applyProtection="1"/>
    <xf numFmtId="4" fontId="0" fillId="0" borderId="0" xfId="0" applyNumberFormat="1" applyProtection="1">
      <protection locked="0"/>
    </xf>
    <xf numFmtId="4" fontId="0" fillId="0" borderId="0" xfId="1" applyNumberFormat="1" applyFont="1" applyProtection="1">
      <protection locked="0"/>
    </xf>
    <xf numFmtId="166" fontId="0" fillId="0" borderId="0" xfId="1" applyNumberFormat="1" applyFont="1" applyProtection="1">
      <protection locked="0"/>
    </xf>
    <xf numFmtId="3" fontId="0" fillId="0" borderId="0" xfId="1" applyNumberFormat="1" applyFont="1" applyProtection="1">
      <protection locked="0"/>
    </xf>
    <xf numFmtId="4" fontId="17" fillId="6" borderId="1" xfId="1" applyNumberFormat="1" applyFont="1" applyFill="1" applyBorder="1" applyProtection="1">
      <protection locked="0"/>
    </xf>
    <xf numFmtId="3" fontId="2" fillId="0" borderId="0" xfId="1" applyNumberFormat="1" applyFont="1" applyFill="1" applyProtection="1">
      <protection locked="0"/>
    </xf>
    <xf numFmtId="3" fontId="4" fillId="0" borderId="0" xfId="1" applyNumberFormat="1" applyFont="1" applyFill="1" applyBorder="1" applyProtection="1">
      <protection locked="0"/>
    </xf>
    <xf numFmtId="4" fontId="4" fillId="0" borderId="0" xfId="1" applyNumberFormat="1" applyFont="1" applyFill="1" applyProtection="1">
      <protection locked="0"/>
    </xf>
    <xf numFmtId="170" fontId="2" fillId="6" borderId="1" xfId="0" applyNumberFormat="1" applyFont="1" applyFill="1" applyBorder="1" applyProtection="1">
      <protection locked="0"/>
    </xf>
    <xf numFmtId="166" fontId="2" fillId="6" borderId="1" xfId="1" applyNumberFormat="1" applyFont="1" applyFill="1" applyBorder="1" applyProtection="1">
      <protection locked="0"/>
    </xf>
    <xf numFmtId="3" fontId="4" fillId="6" borderId="1" xfId="1" applyNumberFormat="1" applyFont="1" applyFill="1" applyBorder="1" applyProtection="1">
      <protection locked="0"/>
    </xf>
    <xf numFmtId="4" fontId="2" fillId="6" borderId="1" xfId="0" applyNumberFormat="1" applyFont="1" applyFill="1" applyBorder="1" applyProtection="1">
      <protection locked="0"/>
    </xf>
    <xf numFmtId="4" fontId="2" fillId="6" borderId="1" xfId="1" applyNumberFormat="1" applyFont="1" applyFill="1" applyBorder="1" applyProtection="1">
      <protection locked="0"/>
    </xf>
    <xf numFmtId="4" fontId="4" fillId="6" borderId="1" xfId="1" applyNumberFormat="1" applyFont="1" applyFill="1" applyBorder="1" applyProtection="1">
      <protection locked="0"/>
    </xf>
    <xf numFmtId="4" fontId="4" fillId="0" borderId="0" xfId="1" applyNumberFormat="1" applyFont="1" applyFill="1" applyBorder="1" applyProtection="1">
      <protection locked="0"/>
    </xf>
    <xf numFmtId="166" fontId="0" fillId="0" borderId="0" xfId="1" applyNumberFormat="1" applyFont="1" applyFill="1" applyBorder="1" applyProtection="1">
      <protection locked="0"/>
    </xf>
    <xf numFmtId="3" fontId="0" fillId="0" borderId="0" xfId="1" applyNumberFormat="1" applyFont="1" applyFill="1" applyBorder="1" applyProtection="1">
      <protection locked="0"/>
    </xf>
    <xf numFmtId="166" fontId="4" fillId="6" borderId="1" xfId="1" applyNumberFormat="1" applyFont="1" applyFill="1" applyBorder="1" applyProtection="1">
      <protection locked="0"/>
    </xf>
    <xf numFmtId="166" fontId="4" fillId="0" borderId="0" xfId="1" applyNumberFormat="1" applyFont="1" applyFill="1" applyProtection="1">
      <protection locked="0"/>
    </xf>
    <xf numFmtId="3" fontId="4" fillId="0" borderId="0" xfId="1" applyNumberFormat="1" applyFont="1" applyFill="1" applyProtection="1">
      <protection locked="0"/>
    </xf>
    <xf numFmtId="4" fontId="4" fillId="6" borderId="1" xfId="1" applyNumberFormat="1" applyFont="1" applyFill="1" applyBorder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center"/>
      <protection locked="0"/>
    </xf>
    <xf numFmtId="166" fontId="0" fillId="0" borderId="0" xfId="1" applyNumberFormat="1" applyFont="1" applyAlignment="1" applyProtection="1">
      <alignment horizontal="center"/>
      <protection locked="0"/>
    </xf>
    <xf numFmtId="3" fontId="0" fillId="0" borderId="0" xfId="1" applyNumberFormat="1" applyFont="1" applyAlignment="1" applyProtection="1">
      <alignment horizontal="center"/>
      <protection locked="0"/>
    </xf>
    <xf numFmtId="4" fontId="2" fillId="3" borderId="2" xfId="1" applyNumberFormat="1" applyFont="1" applyFill="1" applyBorder="1" applyProtection="1"/>
    <xf numFmtId="166" fontId="4" fillId="0" borderId="0" xfId="1" applyNumberFormat="1" applyFont="1" applyFill="1" applyBorder="1" applyProtection="1">
      <protection locked="0"/>
    </xf>
    <xf numFmtId="3" fontId="4" fillId="0" borderId="0" xfId="1" applyNumberFormat="1" applyFont="1" applyFill="1" applyAlignment="1" applyProtection="1">
      <alignment horizontal="right"/>
    </xf>
    <xf numFmtId="4" fontId="4" fillId="0" borderId="0" xfId="0" applyNumberFormat="1" applyFont="1" applyFill="1" applyAlignment="1" applyProtection="1">
      <alignment horizontal="right"/>
    </xf>
    <xf numFmtId="1" fontId="4" fillId="0" borderId="0" xfId="1" applyNumberFormat="1" applyFont="1" applyBorder="1" applyProtection="1"/>
    <xf numFmtId="3" fontId="4" fillId="0" borderId="0" xfId="1" applyNumberFormat="1" applyFont="1" applyBorder="1" applyProtection="1"/>
    <xf numFmtId="4" fontId="0" fillId="0" borderId="0" xfId="0" applyNumberFormat="1" applyProtection="1"/>
    <xf numFmtId="3" fontId="2" fillId="0" borderId="3" xfId="1" applyNumberFormat="1" applyFont="1" applyFill="1" applyBorder="1" applyProtection="1"/>
    <xf numFmtId="4" fontId="0" fillId="0" borderId="0" xfId="0" applyNumberFormat="1" applyFill="1" applyBorder="1" applyProtection="1"/>
    <xf numFmtId="4" fontId="0" fillId="0" borderId="0" xfId="1" applyNumberFormat="1" applyFont="1" applyFill="1" applyBorder="1" applyProtection="1">
      <protection locked="0"/>
    </xf>
    <xf numFmtId="4" fontId="0" fillId="0" borderId="0" xfId="0" applyNumberFormat="1" applyFill="1" applyProtection="1"/>
    <xf numFmtId="3" fontId="2" fillId="2" borderId="3" xfId="1" applyNumberFormat="1" applyFont="1" applyFill="1" applyBorder="1" applyProtection="1"/>
    <xf numFmtId="3" fontId="0" fillId="2" borderId="1" xfId="1" applyNumberFormat="1" applyFont="1" applyFill="1" applyBorder="1" applyProtection="1"/>
    <xf numFmtId="3" fontId="0" fillId="2" borderId="4" xfId="1" applyNumberFormat="1" applyFont="1" applyFill="1" applyBorder="1" applyProtection="1"/>
    <xf numFmtId="9" fontId="2" fillId="0" borderId="1" xfId="1" applyNumberFormat="1" applyFont="1" applyFill="1" applyBorder="1" applyProtection="1"/>
    <xf numFmtId="3" fontId="2" fillId="0" borderId="3" xfId="1" applyNumberFormat="1" applyFont="1" applyBorder="1" applyProtection="1"/>
    <xf numFmtId="4" fontId="2" fillId="4" borderId="3" xfId="1" applyNumberFormat="1" applyFont="1" applyFill="1" applyBorder="1" applyProtection="1"/>
    <xf numFmtId="4" fontId="4" fillId="6" borderId="1" xfId="0" applyNumberFormat="1" applyFont="1" applyFill="1" applyBorder="1" applyAlignment="1" applyProtection="1">
      <alignment wrapText="1"/>
      <protection locked="0"/>
    </xf>
    <xf numFmtId="4" fontId="4" fillId="0" borderId="0" xfId="0" applyNumberFormat="1" applyFont="1" applyAlignment="1" applyProtection="1">
      <alignment wrapText="1"/>
      <protection locked="0"/>
    </xf>
    <xf numFmtId="166" fontId="2" fillId="6" borderId="0" xfId="1" applyNumberFormat="1" applyFont="1" applyFill="1" applyBorder="1" applyProtection="1">
      <protection locked="0"/>
    </xf>
    <xf numFmtId="9" fontId="18" fillId="0" borderId="5" xfId="0" applyNumberFormat="1" applyFont="1" applyBorder="1" applyProtection="1"/>
    <xf numFmtId="9" fontId="18" fillId="0" borderId="6" xfId="0" applyNumberFormat="1" applyFont="1" applyBorder="1" applyProtection="1"/>
    <xf numFmtId="9" fontId="18" fillId="0" borderId="7" xfId="0" applyNumberFormat="1" applyFont="1" applyBorder="1" applyProtection="1"/>
    <xf numFmtId="9" fontId="18" fillId="0" borderId="8" xfId="0" applyNumberFormat="1" applyFont="1" applyBorder="1" applyProtection="1"/>
    <xf numFmtId="9" fontId="18" fillId="0" borderId="1" xfId="0" applyNumberFormat="1" applyFont="1" applyBorder="1" applyProtection="1"/>
    <xf numFmtId="9" fontId="18" fillId="0" borderId="9" xfId="0" applyNumberFormat="1" applyFont="1" applyBorder="1" applyProtection="1"/>
    <xf numFmtId="9" fontId="18" fillId="0" borderId="10" xfId="0" applyNumberFormat="1" applyFont="1" applyBorder="1" applyProtection="1"/>
    <xf numFmtId="9" fontId="18" fillId="0" borderId="11" xfId="0" applyNumberFormat="1" applyFont="1" applyBorder="1" applyProtection="1"/>
    <xf numFmtId="9" fontId="18" fillId="0" borderId="12" xfId="0" applyNumberFormat="1" applyFont="1" applyBorder="1" applyProtection="1"/>
    <xf numFmtId="9" fontId="18" fillId="0" borderId="13" xfId="0" applyNumberFormat="1" applyFont="1" applyBorder="1" applyProtection="1"/>
    <xf numFmtId="9" fontId="18" fillId="0" borderId="14" xfId="0" applyNumberFormat="1" applyFont="1" applyBorder="1" applyProtection="1"/>
    <xf numFmtId="9" fontId="18" fillId="0" borderId="15" xfId="0" applyNumberFormat="1" applyFont="1" applyBorder="1" applyProtection="1"/>
    <xf numFmtId="0" fontId="4" fillId="0" borderId="0" xfId="0" applyFont="1" applyProtection="1">
      <protection locked="0"/>
    </xf>
    <xf numFmtId="9" fontId="0" fillId="0" borderId="0" xfId="0" applyNumberFormat="1" applyBorder="1" applyProtection="1">
      <protection locked="0"/>
    </xf>
    <xf numFmtId="0" fontId="0" fillId="0" borderId="0" xfId="0" applyProtection="1">
      <protection locked="0"/>
    </xf>
    <xf numFmtId="0" fontId="12" fillId="6" borderId="16" xfId="0" applyFont="1" applyFill="1" applyBorder="1" applyAlignment="1" applyProtection="1">
      <alignment horizontal="center" vertical="center"/>
      <protection locked="0"/>
    </xf>
    <xf numFmtId="0" fontId="12" fillId="6" borderId="14" xfId="0" applyFont="1" applyFill="1" applyBorder="1" applyAlignment="1" applyProtection="1">
      <alignment horizontal="center" vertical="center"/>
      <protection locked="0"/>
    </xf>
    <xf numFmtId="0" fontId="12" fillId="6" borderId="15" xfId="0" applyFont="1" applyFill="1" applyBorder="1" applyAlignment="1" applyProtection="1">
      <alignment horizontal="center" vertical="center"/>
      <protection locked="0"/>
    </xf>
    <xf numFmtId="4" fontId="4" fillId="0" borderId="17" xfId="0" applyNumberFormat="1" applyFont="1" applyBorder="1" applyAlignment="1" applyProtection="1">
      <alignment wrapText="1"/>
    </xf>
    <xf numFmtId="4" fontId="4" fillId="0" borderId="18" xfId="0" applyNumberFormat="1" applyFont="1" applyBorder="1" applyAlignment="1" applyProtection="1">
      <alignment wrapText="1"/>
    </xf>
    <xf numFmtId="4" fontId="4" fillId="0" borderId="18" xfId="0" applyNumberFormat="1" applyFont="1" applyFill="1" applyBorder="1" applyAlignment="1" applyProtection="1">
      <alignment wrapText="1"/>
    </xf>
    <xf numFmtId="4" fontId="4" fillId="0" borderId="19" xfId="0" applyNumberFormat="1" applyFont="1" applyBorder="1" applyAlignment="1" applyProtection="1">
      <alignment wrapText="1"/>
    </xf>
    <xf numFmtId="3" fontId="2" fillId="0" borderId="0" xfId="1" applyNumberFormat="1" applyFont="1" applyAlignment="1" applyProtection="1">
      <alignment horizontal="center"/>
    </xf>
    <xf numFmtId="3" fontId="0" fillId="0" borderId="0" xfId="0" applyNumberFormat="1" applyAlignment="1" applyProtection="1"/>
    <xf numFmtId="0" fontId="0" fillId="0" borderId="0" xfId="0" applyAlignment="1" applyProtection="1"/>
    <xf numFmtId="4" fontId="2" fillId="0" borderId="0" xfId="0" applyNumberFormat="1" applyFont="1" applyProtection="1"/>
    <xf numFmtId="4" fontId="0" fillId="0" borderId="0" xfId="1" applyNumberFormat="1" applyFont="1" applyProtection="1"/>
    <xf numFmtId="166" fontId="0" fillId="0" borderId="0" xfId="1" applyNumberFormat="1" applyFont="1" applyProtection="1"/>
    <xf numFmtId="3" fontId="0" fillId="0" borderId="0" xfId="1" applyNumberFormat="1" applyFont="1" applyProtection="1"/>
    <xf numFmtId="3" fontId="4" fillId="0" borderId="0" xfId="1" applyNumberFormat="1" applyFont="1" applyProtection="1"/>
    <xf numFmtId="4" fontId="17" fillId="0" borderId="0" xfId="0" applyNumberFormat="1" applyFont="1" applyProtection="1"/>
    <xf numFmtId="4" fontId="17" fillId="6" borderId="1" xfId="1" applyNumberFormat="1" applyFont="1" applyFill="1" applyBorder="1" applyProtection="1"/>
    <xf numFmtId="4" fontId="4" fillId="0" borderId="0" xfId="0" applyNumberFormat="1" applyFont="1" applyProtection="1"/>
    <xf numFmtId="4" fontId="19" fillId="0" borderId="0" xfId="0" applyNumberFormat="1" applyFont="1" applyProtection="1"/>
    <xf numFmtId="4" fontId="9" fillId="0" borderId="0" xfId="0" applyNumberFormat="1" applyFont="1" applyProtection="1"/>
    <xf numFmtId="4" fontId="10" fillId="0" borderId="0" xfId="0" applyNumberFormat="1" applyFont="1" applyProtection="1"/>
    <xf numFmtId="4" fontId="2" fillId="0" borderId="0" xfId="1" applyNumberFormat="1" applyFont="1" applyAlignment="1" applyProtection="1">
      <alignment horizontal="center"/>
    </xf>
    <xf numFmtId="166" fontId="2" fillId="0" borderId="0" xfId="1" applyNumberFormat="1" applyFont="1" applyAlignment="1" applyProtection="1">
      <alignment horizontal="center"/>
    </xf>
    <xf numFmtId="3" fontId="2" fillId="0" borderId="0" xfId="1" applyNumberFormat="1" applyFont="1" applyBorder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4" fontId="3" fillId="0" borderId="0" xfId="0" applyNumberFormat="1" applyFont="1" applyFill="1" applyProtection="1"/>
    <xf numFmtId="3" fontId="20" fillId="0" borderId="0" xfId="1" applyNumberFormat="1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4" fontId="2" fillId="0" borderId="20" xfId="0" applyNumberFormat="1" applyFont="1" applyBorder="1" applyProtection="1"/>
    <xf numFmtId="4" fontId="0" fillId="0" borderId="20" xfId="0" applyNumberFormat="1" applyBorder="1" applyProtection="1"/>
    <xf numFmtId="4" fontId="2" fillId="0" borderId="20" xfId="1" applyNumberFormat="1" applyFont="1" applyBorder="1" applyAlignment="1" applyProtection="1">
      <alignment horizontal="center"/>
    </xf>
    <xf numFmtId="166" fontId="2" fillId="0" borderId="20" xfId="1" applyNumberFormat="1" applyFont="1" applyBorder="1" applyAlignment="1" applyProtection="1">
      <alignment horizontal="center"/>
    </xf>
    <xf numFmtId="3" fontId="6" fillId="0" borderId="20" xfId="1" applyNumberFormat="1" applyFont="1" applyBorder="1" applyAlignment="1" applyProtection="1">
      <alignment horizontal="center"/>
    </xf>
    <xf numFmtId="4" fontId="0" fillId="0" borderId="20" xfId="0" applyNumberFormat="1" applyBorder="1" applyAlignment="1" applyProtection="1">
      <alignment horizontal="center"/>
    </xf>
    <xf numFmtId="4" fontId="2" fillId="0" borderId="0" xfId="0" applyNumberFormat="1" applyFont="1" applyBorder="1" applyProtection="1"/>
    <xf numFmtId="4" fontId="2" fillId="0" borderId="0" xfId="1" applyNumberFormat="1" applyFont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3" fontId="6" fillId="0" borderId="0" xfId="1" applyNumberFormat="1" applyFon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center"/>
    </xf>
    <xf numFmtId="4" fontId="2" fillId="0" borderId="0" xfId="0" applyNumberFormat="1" applyFont="1" applyFill="1" applyProtection="1"/>
    <xf numFmtId="4" fontId="2" fillId="0" borderId="0" xfId="1" applyNumberFormat="1" applyFont="1" applyFill="1" applyProtection="1"/>
    <xf numFmtId="166" fontId="2" fillId="0" borderId="0" xfId="1" applyNumberFormat="1" applyFont="1" applyFill="1" applyProtection="1"/>
    <xf numFmtId="3" fontId="2" fillId="0" borderId="0" xfId="1" applyNumberFormat="1" applyFont="1" applyFill="1" applyProtection="1"/>
    <xf numFmtId="4" fontId="0" fillId="5" borderId="0" xfId="0" applyNumberFormat="1" applyFill="1" applyProtection="1"/>
    <xf numFmtId="4" fontId="8" fillId="0" borderId="0" xfId="0" applyNumberFormat="1" applyFont="1" applyFill="1" applyProtection="1"/>
    <xf numFmtId="170" fontId="2" fillId="6" borderId="1" xfId="0" applyNumberFormat="1" applyFont="1" applyFill="1" applyBorder="1" applyProtection="1"/>
    <xf numFmtId="4" fontId="4" fillId="6" borderId="1" xfId="0" applyNumberFormat="1" applyFont="1" applyFill="1" applyBorder="1" applyAlignment="1" applyProtection="1">
      <alignment wrapText="1"/>
    </xf>
    <xf numFmtId="166" fontId="2" fillId="6" borderId="1" xfId="1" applyNumberFormat="1" applyFont="1" applyFill="1" applyBorder="1" applyProtection="1"/>
    <xf numFmtId="3" fontId="4" fillId="6" borderId="1" xfId="1" applyNumberFormat="1" applyFont="1" applyFill="1" applyBorder="1" applyProtection="1"/>
    <xf numFmtId="4" fontId="4" fillId="0" borderId="0" xfId="0" applyNumberFormat="1" applyFont="1" applyFill="1" applyProtection="1"/>
    <xf numFmtId="4" fontId="2" fillId="6" borderId="1" xfId="0" applyNumberFormat="1" applyFont="1" applyFill="1" applyBorder="1" applyProtection="1"/>
    <xf numFmtId="4" fontId="2" fillId="6" borderId="1" xfId="1" applyNumberFormat="1" applyFont="1" applyFill="1" applyBorder="1" applyProtection="1"/>
    <xf numFmtId="4" fontId="4" fillId="6" borderId="1" xfId="1" applyNumberFormat="1" applyFont="1" applyFill="1" applyBorder="1" applyProtection="1"/>
    <xf numFmtId="4" fontId="2" fillId="3" borderId="0" xfId="0" applyNumberFormat="1" applyFont="1" applyFill="1" applyProtection="1"/>
    <xf numFmtId="4" fontId="0" fillId="3" borderId="0" xfId="1" applyNumberFormat="1" applyFont="1" applyFill="1" applyProtection="1"/>
    <xf numFmtId="166" fontId="0" fillId="3" borderId="0" xfId="1" applyNumberFormat="1" applyFont="1" applyFill="1" applyBorder="1" applyProtection="1"/>
    <xf numFmtId="3" fontId="0" fillId="3" borderId="0" xfId="1" applyNumberFormat="1" applyFont="1" applyFill="1" applyBorder="1" applyProtection="1"/>
    <xf numFmtId="4" fontId="2" fillId="3" borderId="0" xfId="1" applyNumberFormat="1" applyFont="1" applyFill="1" applyBorder="1" applyProtection="1"/>
    <xf numFmtId="4" fontId="0" fillId="0" borderId="0" xfId="1" applyNumberFormat="1" applyFont="1" applyFill="1" applyProtection="1"/>
    <xf numFmtId="166" fontId="0" fillId="0" borderId="0" xfId="1" applyNumberFormat="1" applyFont="1" applyFill="1" applyBorder="1" applyProtection="1"/>
    <xf numFmtId="3" fontId="0" fillId="0" borderId="0" xfId="1" applyNumberFormat="1" applyFont="1" applyFill="1" applyBorder="1" applyProtection="1"/>
    <xf numFmtId="4" fontId="2" fillId="0" borderId="0" xfId="1" applyNumberFormat="1" applyFont="1" applyFill="1" applyBorder="1" applyProtection="1"/>
    <xf numFmtId="166" fontId="0" fillId="0" borderId="0" xfId="1" applyNumberFormat="1" applyFont="1" applyFill="1" applyProtection="1"/>
    <xf numFmtId="3" fontId="0" fillId="0" borderId="0" xfId="1" applyNumberFormat="1" applyFont="1" applyFill="1" applyProtection="1"/>
    <xf numFmtId="3" fontId="2" fillId="0" borderId="21" xfId="1" applyNumberFormat="1" applyFont="1" applyBorder="1" applyAlignment="1" applyProtection="1">
      <alignment horizontal="center"/>
    </xf>
    <xf numFmtId="3" fontId="18" fillId="7" borderId="0" xfId="0" applyNumberFormat="1" applyFont="1" applyFill="1" applyAlignment="1" applyProtection="1">
      <alignment horizontal="center"/>
    </xf>
    <xf numFmtId="4" fontId="18" fillId="7" borderId="0" xfId="0" applyNumberFormat="1" applyFont="1" applyFill="1" applyProtection="1"/>
    <xf numFmtId="4" fontId="11" fillId="7" borderId="0" xfId="1" applyNumberFormat="1" applyFont="1" applyFill="1" applyProtection="1"/>
    <xf numFmtId="166" fontId="11" fillId="7" borderId="0" xfId="1" applyNumberFormat="1" applyFont="1" applyFill="1" applyProtection="1"/>
    <xf numFmtId="166" fontId="2" fillId="7" borderId="0" xfId="1" applyNumberFormat="1" applyFont="1" applyFill="1" applyAlignment="1" applyProtection="1">
      <alignment horizontal="center"/>
    </xf>
    <xf numFmtId="4" fontId="2" fillId="7" borderId="0" xfId="1" applyNumberFormat="1" applyFont="1" applyFill="1" applyAlignment="1" applyProtection="1">
      <alignment horizontal="center"/>
    </xf>
    <xf numFmtId="3" fontId="20" fillId="7" borderId="0" xfId="1" applyNumberFormat="1" applyFont="1" applyFill="1" applyAlignment="1" applyProtection="1">
      <alignment horizontal="center"/>
    </xf>
    <xf numFmtId="3" fontId="11" fillId="7" borderId="0" xfId="1" applyNumberFormat="1" applyFont="1" applyFill="1" applyProtection="1"/>
    <xf numFmtId="4" fontId="0" fillId="7" borderId="0" xfId="0" applyNumberFormat="1" applyFill="1" applyProtection="1"/>
    <xf numFmtId="166" fontId="4" fillId="6" borderId="1" xfId="1" applyNumberFormat="1" applyFont="1" applyFill="1" applyBorder="1" applyProtection="1"/>
    <xf numFmtId="166" fontId="4" fillId="0" borderId="0" xfId="1" applyNumberFormat="1" applyFont="1" applyFill="1" applyBorder="1" applyProtection="1"/>
    <xf numFmtId="3" fontId="4" fillId="0" borderId="0" xfId="0" applyNumberFormat="1" applyFont="1" applyProtection="1"/>
    <xf numFmtId="4" fontId="0" fillId="0" borderId="0" xfId="0" applyNumberFormat="1" applyAlignment="1" applyProtection="1">
      <alignment wrapText="1"/>
    </xf>
    <xf numFmtId="4" fontId="0" fillId="0" borderId="22" xfId="0" applyNumberFormat="1" applyBorder="1" applyProtection="1"/>
    <xf numFmtId="3" fontId="4" fillId="0" borderId="0" xfId="0" quotePrefix="1" applyNumberFormat="1" applyFont="1" applyProtection="1"/>
    <xf numFmtId="4" fontId="4" fillId="0" borderId="0" xfId="0" applyNumberFormat="1" applyFont="1" applyFill="1" applyAlignment="1" applyProtection="1">
      <alignment wrapText="1"/>
    </xf>
    <xf numFmtId="169" fontId="2" fillId="0" borderId="0" xfId="0" applyNumberFormat="1" applyFont="1" applyProtection="1"/>
    <xf numFmtId="166" fontId="4" fillId="0" borderId="0" xfId="1" applyNumberFormat="1" applyFont="1" applyFill="1" applyProtection="1"/>
    <xf numFmtId="3" fontId="4" fillId="0" borderId="0" xfId="1" applyNumberFormat="1" applyFont="1" applyFill="1" applyProtection="1"/>
    <xf numFmtId="4" fontId="4" fillId="0" borderId="0" xfId="0" quotePrefix="1" applyNumberFormat="1" applyFont="1" applyProtection="1"/>
    <xf numFmtId="4" fontId="2" fillId="0" borderId="0" xfId="0" applyNumberFormat="1" applyFont="1" applyAlignment="1" applyProtection="1">
      <alignment wrapText="1"/>
    </xf>
    <xf numFmtId="4" fontId="2" fillId="0" borderId="0" xfId="0" applyNumberFormat="1" applyFont="1" applyFill="1" applyAlignment="1" applyProtection="1">
      <alignment horizontal="left"/>
    </xf>
    <xf numFmtId="4" fontId="2" fillId="7" borderId="0" xfId="0" applyNumberFormat="1" applyFont="1" applyFill="1" applyAlignment="1" applyProtection="1">
      <alignment horizontal="center"/>
    </xf>
    <xf numFmtId="3" fontId="4" fillId="0" borderId="0" xfId="0" applyNumberFormat="1" applyFont="1" applyAlignment="1" applyProtection="1">
      <alignment horizontal="left"/>
    </xf>
    <xf numFmtId="4" fontId="4" fillId="0" borderId="0" xfId="0" applyNumberFormat="1" applyFont="1" applyAlignment="1" applyProtection="1">
      <alignment wrapText="1"/>
    </xf>
    <xf numFmtId="166" fontId="11" fillId="6" borderId="1" xfId="1" applyNumberFormat="1" applyFont="1" applyFill="1" applyBorder="1" applyAlignment="1" applyProtection="1">
      <alignment horizontal="center"/>
    </xf>
    <xf numFmtId="4" fontId="4" fillId="6" borderId="1" xfId="1" applyNumberFormat="1" applyFont="1" applyFill="1" applyBorder="1" applyAlignment="1" applyProtection="1">
      <alignment horizontal="center"/>
    </xf>
    <xf numFmtId="3" fontId="11" fillId="6" borderId="1" xfId="1" applyNumberFormat="1" applyFont="1" applyFill="1" applyBorder="1" applyAlignment="1" applyProtection="1">
      <alignment horizontal="center"/>
    </xf>
    <xf numFmtId="3" fontId="4" fillId="0" borderId="0" xfId="0" applyNumberFormat="1" applyFont="1" applyFill="1" applyAlignment="1" applyProtection="1">
      <alignment horizontal="left"/>
    </xf>
    <xf numFmtId="166" fontId="0" fillId="0" borderId="0" xfId="1" applyNumberFormat="1" applyFont="1" applyAlignment="1" applyProtection="1">
      <alignment horizontal="center"/>
    </xf>
    <xf numFmtId="4" fontId="4" fillId="0" borderId="0" xfId="1" applyNumberFormat="1" applyFont="1" applyAlignment="1" applyProtection="1">
      <alignment horizontal="center"/>
    </xf>
    <xf numFmtId="3" fontId="0" fillId="0" borderId="0" xfId="1" applyNumberFormat="1" applyFont="1" applyAlignment="1" applyProtection="1">
      <alignment horizontal="center"/>
    </xf>
    <xf numFmtId="4" fontId="4" fillId="0" borderId="0" xfId="0" applyNumberFormat="1" applyFont="1" applyFill="1" applyAlignment="1" applyProtection="1">
      <alignment horizontal="left"/>
    </xf>
    <xf numFmtId="4" fontId="11" fillId="6" borderId="1" xfId="1" applyNumberFormat="1" applyFont="1" applyFill="1" applyBorder="1" applyProtection="1"/>
    <xf numFmtId="4" fontId="10" fillId="6" borderId="1" xfId="0" applyNumberFormat="1" applyFont="1" applyFill="1" applyBorder="1" applyProtection="1"/>
    <xf numFmtId="166" fontId="11" fillId="6" borderId="1" xfId="1" applyNumberFormat="1" applyFont="1" applyFill="1" applyBorder="1" applyProtection="1"/>
    <xf numFmtId="166" fontId="4" fillId="0" borderId="0" xfId="1" applyNumberFormat="1" applyFont="1" applyProtection="1"/>
    <xf numFmtId="4" fontId="4" fillId="0" borderId="0" xfId="1" applyNumberFormat="1" applyFont="1" applyProtection="1"/>
    <xf numFmtId="4" fontId="4" fillId="0" borderId="0" xfId="0" applyNumberFormat="1" applyFont="1" applyAlignment="1" applyProtection="1">
      <alignment horizontal="left" wrapText="1"/>
    </xf>
    <xf numFmtId="3" fontId="11" fillId="6" borderId="1" xfId="1" applyNumberFormat="1" applyFont="1" applyFill="1" applyBorder="1" applyProtection="1"/>
    <xf numFmtId="4" fontId="0" fillId="0" borderId="0" xfId="1" applyNumberFormat="1" applyFont="1" applyFill="1" applyBorder="1" applyProtection="1"/>
    <xf numFmtId="1" fontId="11" fillId="6" borderId="1" xfId="1" applyNumberFormat="1" applyFont="1" applyFill="1" applyBorder="1" applyProtection="1"/>
    <xf numFmtId="167" fontId="11" fillId="6" borderId="1" xfId="1" applyNumberFormat="1" applyFont="1" applyFill="1" applyBorder="1" applyProtection="1"/>
    <xf numFmtId="3" fontId="4" fillId="0" borderId="0" xfId="0" applyNumberFormat="1" applyFont="1" applyBorder="1" applyProtection="1"/>
    <xf numFmtId="3" fontId="2" fillId="0" borderId="0" xfId="1" applyNumberFormat="1" applyFont="1" applyFill="1" applyBorder="1" applyProtection="1"/>
    <xf numFmtId="4" fontId="4" fillId="0" borderId="0" xfId="0" applyNumberFormat="1" applyFont="1" applyFill="1" applyAlignment="1" applyProtection="1">
      <alignment horizontal="left" wrapText="1"/>
    </xf>
    <xf numFmtId="166" fontId="11" fillId="0" borderId="0" xfId="1" applyNumberFormat="1" applyFont="1" applyFill="1" applyProtection="1"/>
    <xf numFmtId="4" fontId="11" fillId="0" borderId="0" xfId="1" applyNumberFormat="1" applyFont="1" applyFill="1" applyProtection="1"/>
    <xf numFmtId="3" fontId="11" fillId="0" borderId="0" xfId="1" applyNumberFormat="1" applyFont="1" applyFill="1" applyProtection="1"/>
    <xf numFmtId="4" fontId="9" fillId="0" borderId="0" xfId="0" applyNumberFormat="1" applyFont="1" applyAlignment="1" applyProtection="1">
      <alignment horizontal="left" wrapText="1"/>
    </xf>
    <xf numFmtId="3" fontId="2" fillId="0" borderId="0" xfId="1" applyNumberFormat="1" applyFont="1" applyBorder="1" applyProtection="1"/>
    <xf numFmtId="4" fontId="2" fillId="8" borderId="0" xfId="0" applyNumberFormat="1" applyFont="1" applyFill="1" applyProtection="1"/>
    <xf numFmtId="4" fontId="2" fillId="2" borderId="0" xfId="0" applyNumberFormat="1" applyFont="1" applyFill="1" applyAlignment="1" applyProtection="1">
      <alignment horizontal="left"/>
    </xf>
    <xf numFmtId="166" fontId="0" fillId="2" borderId="0" xfId="1" applyNumberFormat="1" applyFont="1" applyFill="1" applyProtection="1"/>
    <xf numFmtId="4" fontId="0" fillId="2" borderId="0" xfId="1" applyNumberFormat="1" applyFont="1" applyFill="1" applyProtection="1"/>
    <xf numFmtId="3" fontId="0" fillId="2" borderId="0" xfId="1" applyNumberFormat="1" applyFont="1" applyFill="1" applyProtection="1"/>
    <xf numFmtId="4" fontId="5" fillId="0" borderId="0" xfId="0" applyNumberFormat="1" applyFont="1" applyProtection="1"/>
    <xf numFmtId="4" fontId="5" fillId="0" borderId="0" xfId="0" applyNumberFormat="1" applyFont="1" applyAlignment="1" applyProtection="1">
      <alignment wrapText="1"/>
    </xf>
    <xf numFmtId="4" fontId="19" fillId="0" borderId="0" xfId="0" applyNumberFormat="1" applyFont="1" applyFill="1" applyProtection="1"/>
    <xf numFmtId="4" fontId="4" fillId="0" borderId="0" xfId="1" applyNumberFormat="1" applyFont="1" applyBorder="1" applyProtection="1"/>
    <xf numFmtId="166" fontId="0" fillId="3" borderId="0" xfId="1" applyNumberFormat="1" applyFont="1" applyFill="1" applyProtection="1"/>
    <xf numFmtId="3" fontId="0" fillId="3" borderId="0" xfId="1" applyNumberFormat="1" applyFont="1" applyFill="1" applyProtection="1"/>
    <xf numFmtId="4" fontId="2" fillId="4" borderId="0" xfId="0" applyNumberFormat="1" applyFont="1" applyFill="1" applyProtection="1"/>
    <xf numFmtId="4" fontId="0" fillId="4" borderId="0" xfId="0" applyNumberFormat="1" applyFill="1" applyProtection="1"/>
    <xf numFmtId="4" fontId="0" fillId="4" borderId="0" xfId="1" applyNumberFormat="1" applyFont="1" applyFill="1" applyProtection="1"/>
    <xf numFmtId="166" fontId="0" fillId="4" borderId="0" xfId="1" applyNumberFormat="1" applyFont="1" applyFill="1" applyProtection="1"/>
    <xf numFmtId="3" fontId="0" fillId="4" borderId="0" xfId="1" applyNumberFormat="1" applyFont="1" applyFill="1" applyProtection="1"/>
    <xf numFmtId="4" fontId="2" fillId="4" borderId="23" xfId="1" applyNumberFormat="1" applyFont="1" applyFill="1" applyBorder="1" applyProtection="1"/>
    <xf numFmtId="4" fontId="5" fillId="0" borderId="0" xfId="0" applyNumberFormat="1" applyFont="1" applyAlignment="1" applyProtection="1">
      <alignment horizontal="center"/>
    </xf>
    <xf numFmtId="166" fontId="7" fillId="0" borderId="0" xfId="1" applyNumberFormat="1" applyFont="1" applyProtection="1"/>
    <xf numFmtId="0" fontId="5" fillId="0" borderId="0" xfId="0" applyFont="1" applyAlignment="1" applyProtection="1">
      <alignment horizontal="center"/>
    </xf>
    <xf numFmtId="167" fontId="4" fillId="0" borderId="0" xfId="0" applyNumberFormat="1" applyFont="1" applyFill="1" applyAlignment="1" applyProtection="1">
      <alignment horizontal="left"/>
    </xf>
    <xf numFmtId="4" fontId="2" fillId="9" borderId="0" xfId="0" applyNumberFormat="1" applyFont="1" applyFill="1" applyAlignment="1" applyProtection="1">
      <alignment horizontal="center"/>
    </xf>
    <xf numFmtId="4" fontId="4" fillId="9" borderId="0" xfId="0" applyNumberFormat="1" applyFont="1" applyFill="1" applyAlignment="1" applyProtection="1">
      <alignment wrapText="1"/>
    </xf>
    <xf numFmtId="4" fontId="2" fillId="9" borderId="0" xfId="0" applyNumberFormat="1" applyFont="1" applyFill="1" applyProtection="1"/>
    <xf numFmtId="4" fontId="0" fillId="9" borderId="0" xfId="0" applyNumberFormat="1" applyFill="1" applyProtection="1"/>
    <xf numFmtId="3" fontId="4" fillId="9" borderId="0" xfId="0" applyNumberFormat="1" applyFont="1" applyFill="1" applyBorder="1" applyProtection="1"/>
    <xf numFmtId="4" fontId="0" fillId="6" borderId="1" xfId="0" applyNumberFormat="1" applyFill="1" applyBorder="1" applyAlignment="1" applyProtection="1">
      <alignment wrapText="1"/>
      <protection locked="0"/>
    </xf>
    <xf numFmtId="169" fontId="2" fillId="0" borderId="0" xfId="0" applyNumberFormat="1" applyFont="1" applyProtection="1">
      <protection locked="0"/>
    </xf>
    <xf numFmtId="4" fontId="4" fillId="0" borderId="0" xfId="0" applyNumberFormat="1" applyFont="1" applyFill="1" applyAlignment="1" applyProtection="1">
      <alignment wrapText="1"/>
      <protection locked="0"/>
    </xf>
    <xf numFmtId="3" fontId="4" fillId="0" borderId="0" xfId="0" applyNumberFormat="1" applyFont="1" applyProtection="1">
      <protection locked="0"/>
    </xf>
    <xf numFmtId="3" fontId="4" fillId="0" borderId="0" xfId="0" quotePrefix="1" applyNumberFormat="1" applyFont="1" applyProtection="1">
      <protection locked="0"/>
    </xf>
    <xf numFmtId="3" fontId="21" fillId="0" borderId="0" xfId="1" applyNumberFormat="1" applyFont="1" applyBorder="1" applyProtection="1"/>
    <xf numFmtId="4" fontId="21" fillId="0" borderId="0" xfId="0" applyNumberFormat="1" applyFont="1" applyProtection="1"/>
    <xf numFmtId="0" fontId="12" fillId="10" borderId="23" xfId="0" applyFont="1" applyFill="1" applyBorder="1" applyAlignment="1" applyProtection="1">
      <alignment horizontal="center" vertical="center"/>
      <protection locked="0"/>
    </xf>
    <xf numFmtId="4" fontId="21" fillId="11" borderId="1" xfId="1" applyNumberFormat="1" applyFont="1" applyFill="1" applyBorder="1" applyAlignment="1" applyProtection="1">
      <alignment horizontal="center"/>
      <protection locked="0"/>
    </xf>
    <xf numFmtId="166" fontId="21" fillId="11" borderId="1" xfId="1" applyNumberFormat="1" applyFont="1" applyFill="1" applyBorder="1" applyAlignment="1" applyProtection="1">
      <alignment horizontal="center"/>
      <protection locked="0"/>
    </xf>
    <xf numFmtId="3" fontId="21" fillId="11" borderId="1" xfId="1" applyNumberFormat="1" applyFont="1" applyFill="1" applyBorder="1" applyAlignment="1" applyProtection="1">
      <alignment horizontal="center"/>
      <protection locked="0"/>
    </xf>
    <xf numFmtId="3" fontId="21" fillId="7" borderId="0" xfId="0" applyNumberFormat="1" applyFont="1" applyFill="1" applyAlignment="1" applyProtection="1">
      <alignment horizontal="left"/>
    </xf>
    <xf numFmtId="4" fontId="21" fillId="7" borderId="1" xfId="0" applyNumberFormat="1" applyFont="1" applyFill="1" applyBorder="1" applyAlignment="1" applyProtection="1">
      <alignment wrapText="1"/>
    </xf>
    <xf numFmtId="0" fontId="2" fillId="0" borderId="0" xfId="0" applyFont="1" applyBorder="1" applyAlignment="1" applyProtection="1">
      <alignment horizontal="center" wrapText="1"/>
    </xf>
    <xf numFmtId="4" fontId="2" fillId="0" borderId="0" xfId="0" applyNumberFormat="1" applyFont="1" applyBorder="1" applyAlignment="1" applyProtection="1">
      <alignment horizontal="center"/>
    </xf>
    <xf numFmtId="4" fontId="0" fillId="7" borderId="0" xfId="0" applyNumberFormat="1" applyFill="1" applyBorder="1" applyProtection="1"/>
    <xf numFmtId="4" fontId="4" fillId="0" borderId="0" xfId="0" applyNumberFormat="1" applyFont="1" applyFill="1" applyBorder="1" applyAlignment="1" applyProtection="1">
      <alignment horizontal="right"/>
    </xf>
    <xf numFmtId="3" fontId="2" fillId="2" borderId="0" xfId="1" applyNumberFormat="1" applyFont="1" applyFill="1" applyBorder="1" applyProtection="1"/>
    <xf numFmtId="3" fontId="0" fillId="2" borderId="0" xfId="1" applyNumberFormat="1" applyFont="1" applyFill="1" applyBorder="1" applyProtection="1"/>
    <xf numFmtId="9" fontId="2" fillId="0" borderId="0" xfId="1" applyNumberFormat="1" applyFont="1" applyFill="1" applyBorder="1" applyProtection="1"/>
    <xf numFmtId="4" fontId="2" fillId="4" borderId="0" xfId="1" applyNumberFormat="1" applyFont="1" applyFill="1" applyBorder="1" applyProtection="1"/>
    <xf numFmtId="4" fontId="4" fillId="7" borderId="0" xfId="0" applyNumberFormat="1" applyFont="1" applyFill="1" applyBorder="1" applyAlignment="1" applyProtection="1">
      <alignment horizontal="right"/>
    </xf>
    <xf numFmtId="10" fontId="4" fillId="0" borderId="0" xfId="0" applyNumberFormat="1" applyFont="1" applyFill="1" applyBorder="1" applyAlignment="1" applyProtection="1">
      <alignment horizontal="right"/>
    </xf>
    <xf numFmtId="10" fontId="4" fillId="7" borderId="0" xfId="0" applyNumberFormat="1" applyFont="1" applyFill="1" applyBorder="1" applyAlignment="1" applyProtection="1">
      <alignment horizontal="right"/>
    </xf>
    <xf numFmtId="10" fontId="0" fillId="2" borderId="0" xfId="1" applyNumberFormat="1" applyFont="1" applyFill="1" applyBorder="1" applyProtection="1"/>
    <xf numFmtId="10" fontId="0" fillId="0" borderId="0" xfId="0" applyNumberFormat="1" applyProtection="1"/>
    <xf numFmtId="10" fontId="0" fillId="7" borderId="0" xfId="0" applyNumberFormat="1" applyFill="1" applyProtection="1"/>
    <xf numFmtId="10" fontId="2" fillId="2" borderId="0" xfId="1" applyNumberFormat="1" applyFont="1" applyFill="1" applyBorder="1" applyProtection="1"/>
    <xf numFmtId="4" fontId="2" fillId="0" borderId="0" xfId="0" applyNumberFormat="1" applyFont="1" applyFill="1" applyBorder="1" applyAlignment="1" applyProtection="1">
      <alignment horizontal="right"/>
    </xf>
    <xf numFmtId="10" fontId="2" fillId="0" borderId="0" xfId="0" applyNumberFormat="1" applyFont="1" applyFill="1" applyBorder="1" applyAlignment="1" applyProtection="1">
      <alignment horizontal="right"/>
    </xf>
    <xf numFmtId="4" fontId="21" fillId="0" borderId="0" xfId="0" applyNumberFormat="1" applyFont="1" applyFill="1" applyBorder="1" applyAlignment="1" applyProtection="1">
      <alignment horizontal="right"/>
    </xf>
    <xf numFmtId="10" fontId="21" fillId="0" borderId="0" xfId="0" applyNumberFormat="1" applyFont="1" applyFill="1" applyBorder="1" applyAlignment="1" applyProtection="1">
      <alignment horizontal="right"/>
    </xf>
    <xf numFmtId="4" fontId="2" fillId="6" borderId="22" xfId="0" applyNumberFormat="1" applyFont="1" applyFill="1" applyBorder="1" applyAlignment="1" applyProtection="1">
      <alignment horizontal="center"/>
    </xf>
    <xf numFmtId="4" fontId="0" fillId="6" borderId="22" xfId="0" applyNumberFormat="1" applyFill="1" applyBorder="1" applyProtection="1"/>
    <xf numFmtId="4" fontId="4" fillId="6" borderId="22" xfId="0" applyNumberFormat="1" applyFont="1" applyFill="1" applyBorder="1" applyAlignment="1" applyProtection="1">
      <alignment horizontal="right"/>
    </xf>
    <xf numFmtId="3" fontId="2" fillId="6" borderId="22" xfId="1" applyNumberFormat="1" applyFont="1" applyFill="1" applyBorder="1" applyProtection="1"/>
    <xf numFmtId="3" fontId="4" fillId="6" borderId="22" xfId="1" applyNumberFormat="1" applyFont="1" applyFill="1" applyBorder="1" applyProtection="1"/>
    <xf numFmtId="3" fontId="11" fillId="6" borderId="22" xfId="1" applyNumberFormat="1" applyFont="1" applyFill="1" applyBorder="1" applyProtection="1"/>
    <xf numFmtId="9" fontId="2" fillId="6" borderId="24" xfId="1" applyNumberFormat="1" applyFont="1" applyFill="1" applyBorder="1" applyProtection="1"/>
    <xf numFmtId="9" fontId="2" fillId="6" borderId="22" xfId="1" applyNumberFormat="1" applyFont="1" applyFill="1" applyBorder="1" applyProtection="1"/>
    <xf numFmtId="4" fontId="4" fillId="6" borderId="22" xfId="1" applyNumberFormat="1" applyFont="1" applyFill="1" applyBorder="1" applyProtection="1"/>
    <xf numFmtId="4" fontId="2" fillId="6" borderId="22" xfId="1" applyNumberFormat="1" applyFont="1" applyFill="1" applyBorder="1" applyProtection="1"/>
    <xf numFmtId="4" fontId="2" fillId="6" borderId="23" xfId="1" applyNumberFormat="1" applyFont="1" applyFill="1" applyBorder="1" applyProtection="1"/>
    <xf numFmtId="4" fontId="4" fillId="6" borderId="25" xfId="0" applyNumberFormat="1" applyFont="1" applyFill="1" applyBorder="1" applyAlignment="1" applyProtection="1">
      <alignment horizontal="right"/>
    </xf>
    <xf numFmtId="4" fontId="0" fillId="6" borderId="25" xfId="0" applyNumberFormat="1" applyFill="1" applyBorder="1" applyProtection="1"/>
    <xf numFmtId="4" fontId="2" fillId="6" borderId="25" xfId="0" applyNumberFormat="1" applyFont="1" applyFill="1" applyBorder="1" applyAlignment="1" applyProtection="1">
      <alignment horizontal="center"/>
    </xf>
    <xf numFmtId="3" fontId="2" fillId="6" borderId="25" xfId="1" applyNumberFormat="1" applyFont="1" applyFill="1" applyBorder="1" applyProtection="1"/>
    <xf numFmtId="3" fontId="4" fillId="6" borderId="25" xfId="1" applyNumberFormat="1" applyFont="1" applyFill="1" applyBorder="1" applyProtection="1"/>
    <xf numFmtId="3" fontId="11" fillId="6" borderId="25" xfId="1" applyNumberFormat="1" applyFont="1" applyFill="1" applyBorder="1" applyProtection="1"/>
    <xf numFmtId="4" fontId="0" fillId="0" borderId="1" xfId="0" applyNumberFormat="1" applyFill="1" applyBorder="1" applyProtection="1"/>
    <xf numFmtId="4" fontId="0" fillId="0" borderId="1" xfId="0" applyNumberFormat="1" applyBorder="1" applyProtection="1"/>
    <xf numFmtId="4" fontId="2" fillId="0" borderId="1" xfId="0" applyNumberFormat="1" applyFont="1" applyBorder="1" applyAlignment="1" applyProtection="1">
      <alignment horizontal="center"/>
    </xf>
    <xf numFmtId="3" fontId="2" fillId="0" borderId="1" xfId="1" applyNumberFormat="1" applyFont="1" applyFill="1" applyBorder="1" applyProtection="1"/>
    <xf numFmtId="4" fontId="2" fillId="7" borderId="1" xfId="0" applyNumberFormat="1" applyFont="1" applyFill="1" applyBorder="1" applyAlignment="1" applyProtection="1">
      <alignment horizontal="center"/>
    </xf>
    <xf numFmtId="3" fontId="4" fillId="0" borderId="1" xfId="1" applyNumberFormat="1" applyFont="1" applyBorder="1" applyProtection="1"/>
    <xf numFmtId="4" fontId="0" fillId="6" borderId="1" xfId="0" applyNumberFormat="1" applyFill="1" applyBorder="1" applyProtection="1"/>
    <xf numFmtId="3" fontId="2" fillId="6" borderId="1" xfId="1" applyNumberFormat="1" applyFont="1" applyFill="1" applyBorder="1" applyProtection="1"/>
    <xf numFmtId="4" fontId="4" fillId="6" borderId="1" xfId="0" applyNumberFormat="1" applyFont="1" applyFill="1" applyBorder="1" applyAlignment="1" applyProtection="1">
      <alignment horizontal="right"/>
    </xf>
    <xf numFmtId="3" fontId="11" fillId="6" borderId="1" xfId="1" applyNumberFormat="1" applyFont="1" applyFill="1" applyBorder="1" applyProtection="1"/>
    <xf numFmtId="3" fontId="0" fillId="0" borderId="0" xfId="2" applyNumberFormat="1" applyFont="1" applyProtection="1"/>
    <xf numFmtId="166" fontId="0" fillId="0" borderId="0" xfId="2" applyNumberFormat="1" applyFont="1" applyProtection="1"/>
    <xf numFmtId="4" fontId="0" fillId="0" borderId="0" xfId="2" applyNumberFormat="1" applyFont="1" applyProtection="1"/>
    <xf numFmtId="3" fontId="4" fillId="0" borderId="0" xfId="2" applyNumberFormat="1" applyFont="1" applyProtection="1"/>
    <xf numFmtId="166" fontId="7" fillId="0" borderId="0" xfId="2" applyNumberFormat="1" applyFont="1" applyProtection="1"/>
    <xf numFmtId="4" fontId="2" fillId="4" borderId="0" xfId="2" applyNumberFormat="1" applyFont="1" applyFill="1" applyBorder="1" applyProtection="1"/>
    <xf numFmtId="4" fontId="2" fillId="4" borderId="23" xfId="2" applyNumberFormat="1" applyFont="1" applyFill="1" applyBorder="1" applyProtection="1"/>
    <xf numFmtId="4" fontId="2" fillId="4" borderId="3" xfId="2" applyNumberFormat="1" applyFont="1" applyFill="1" applyBorder="1" applyProtection="1"/>
    <xf numFmtId="3" fontId="0" fillId="4" borderId="0" xfId="2" applyNumberFormat="1" applyFont="1" applyFill="1" applyProtection="1"/>
    <xf numFmtId="166" fontId="0" fillId="4" borderId="0" xfId="2" applyNumberFormat="1" applyFont="1" applyFill="1" applyProtection="1"/>
    <xf numFmtId="4" fontId="0" fillId="4" borderId="0" xfId="2" applyNumberFormat="1" applyFont="1" applyFill="1" applyProtection="1"/>
    <xf numFmtId="3" fontId="4" fillId="0" borderId="0" xfId="2" applyNumberFormat="1" applyFont="1" applyBorder="1" applyProtection="1"/>
    <xf numFmtId="4" fontId="2" fillId="3" borderId="0" xfId="2" applyNumberFormat="1" applyFont="1" applyFill="1" applyBorder="1" applyProtection="1"/>
    <xf numFmtId="4" fontId="2" fillId="6" borderId="22" xfId="2" applyNumberFormat="1" applyFont="1" applyFill="1" applyBorder="1" applyProtection="1"/>
    <xf numFmtId="4" fontId="2" fillId="3" borderId="2" xfId="2" applyNumberFormat="1" applyFont="1" applyFill="1" applyBorder="1" applyProtection="1"/>
    <xf numFmtId="3" fontId="0" fillId="3" borderId="0" xfId="2" applyNumberFormat="1" applyFont="1" applyFill="1" applyProtection="1"/>
    <xf numFmtId="166" fontId="0" fillId="3" borderId="0" xfId="2" applyNumberFormat="1" applyFont="1" applyFill="1" applyProtection="1"/>
    <xf numFmtId="4" fontId="0" fillId="3" borderId="0" xfId="2" applyNumberFormat="1" applyFont="1" applyFill="1" applyProtection="1"/>
    <xf numFmtId="4" fontId="4" fillId="0" borderId="0" xfId="2" applyNumberFormat="1" applyFont="1" applyBorder="1" applyProtection="1"/>
    <xf numFmtId="4" fontId="4" fillId="6" borderId="22" xfId="2" applyNumberFormat="1" applyFont="1" applyFill="1" applyBorder="1" applyProtection="1"/>
    <xf numFmtId="3" fontId="2" fillId="0" borderId="0" xfId="2" applyNumberFormat="1" applyFont="1" applyBorder="1" applyProtection="1"/>
    <xf numFmtId="3" fontId="2" fillId="6" borderId="22" xfId="2" applyNumberFormat="1" applyFont="1" applyFill="1" applyBorder="1" applyProtection="1"/>
    <xf numFmtId="3" fontId="2" fillId="0" borderId="3" xfId="2" applyNumberFormat="1" applyFont="1" applyBorder="1" applyProtection="1"/>
    <xf numFmtId="9" fontId="2" fillId="0" borderId="0" xfId="2" applyNumberFormat="1" applyFont="1" applyFill="1" applyBorder="1" applyProtection="1"/>
    <xf numFmtId="9" fontId="2" fillId="6" borderId="22" xfId="2" applyNumberFormat="1" applyFont="1" applyFill="1" applyBorder="1" applyProtection="1"/>
    <xf numFmtId="9" fontId="2" fillId="6" borderId="24" xfId="2" applyNumberFormat="1" applyFont="1" applyFill="1" applyBorder="1" applyProtection="1"/>
    <xf numFmtId="9" fontId="2" fillId="0" borderId="1" xfId="2" applyNumberFormat="1" applyFont="1" applyFill="1" applyBorder="1" applyProtection="1"/>
    <xf numFmtId="3" fontId="0" fillId="0" borderId="0" xfId="2" applyNumberFormat="1" applyFont="1" applyFill="1" applyProtection="1"/>
    <xf numFmtId="166" fontId="0" fillId="0" borderId="0" xfId="2" applyNumberFormat="1" applyFont="1" applyFill="1" applyProtection="1"/>
    <xf numFmtId="4" fontId="0" fillId="0" borderId="0" xfId="2" applyNumberFormat="1" applyFont="1" applyFill="1" applyProtection="1"/>
    <xf numFmtId="10" fontId="2" fillId="2" borderId="0" xfId="2" applyNumberFormat="1" applyFont="1" applyFill="1" applyBorder="1" applyProtection="1"/>
    <xf numFmtId="3" fontId="2" fillId="2" borderId="0" xfId="2" applyNumberFormat="1" applyFont="1" applyFill="1" applyBorder="1" applyProtection="1"/>
    <xf numFmtId="3" fontId="11" fillId="6" borderId="1" xfId="2" applyNumberFormat="1" applyFont="1" applyFill="1" applyBorder="1" applyProtection="1"/>
    <xf numFmtId="3" fontId="11" fillId="6" borderId="25" xfId="2" applyNumberFormat="1" applyFont="1" applyFill="1" applyBorder="1" applyProtection="1"/>
    <xf numFmtId="3" fontId="11" fillId="6" borderId="22" xfId="2" applyNumberFormat="1" applyFont="1" applyFill="1" applyBorder="1" applyProtection="1"/>
    <xf numFmtId="3" fontId="0" fillId="2" borderId="4" xfId="2" applyNumberFormat="1" applyFont="1" applyFill="1" applyBorder="1" applyProtection="1"/>
    <xf numFmtId="3" fontId="0" fillId="2" borderId="0" xfId="2" applyNumberFormat="1" applyFont="1" applyFill="1" applyProtection="1"/>
    <xf numFmtId="166" fontId="0" fillId="2" borderId="0" xfId="2" applyNumberFormat="1" applyFont="1" applyFill="1" applyProtection="1"/>
    <xf numFmtId="4" fontId="0" fillId="2" borderId="0" xfId="2" applyNumberFormat="1" applyFont="1" applyFill="1" applyProtection="1"/>
    <xf numFmtId="3" fontId="0" fillId="0" borderId="0" xfId="2" applyNumberFormat="1" applyFont="1" applyProtection="1">
      <protection locked="0"/>
    </xf>
    <xf numFmtId="166" fontId="0" fillId="0" borderId="0" xfId="2" applyNumberFormat="1" applyFont="1" applyProtection="1">
      <protection locked="0"/>
    </xf>
    <xf numFmtId="4" fontId="0" fillId="0" borderId="0" xfId="2" applyNumberFormat="1" applyFont="1" applyProtection="1">
      <protection locked="0"/>
    </xf>
    <xf numFmtId="3" fontId="11" fillId="6" borderId="1" xfId="2" applyNumberFormat="1" applyFont="1" applyFill="1" applyBorder="1" applyProtection="1">
      <protection locked="0"/>
    </xf>
    <xf numFmtId="166" fontId="11" fillId="6" borderId="1" xfId="2" applyNumberFormat="1" applyFont="1" applyFill="1" applyBorder="1" applyProtection="1">
      <protection locked="0"/>
    </xf>
    <xf numFmtId="4" fontId="11" fillId="6" borderId="1" xfId="2" applyNumberFormat="1" applyFont="1" applyFill="1" applyBorder="1" applyProtection="1">
      <protection locked="0"/>
    </xf>
    <xf numFmtId="4" fontId="4" fillId="6" borderId="1" xfId="2" applyNumberFormat="1" applyFont="1" applyFill="1" applyBorder="1" applyProtection="1">
      <protection locked="0"/>
    </xf>
    <xf numFmtId="3" fontId="2" fillId="6" borderId="1" xfId="2" applyNumberFormat="1" applyFont="1" applyFill="1" applyBorder="1" applyProtection="1"/>
    <xf numFmtId="3" fontId="2" fillId="6" borderId="25" xfId="2" applyNumberFormat="1" applyFont="1" applyFill="1" applyBorder="1" applyProtection="1"/>
    <xf numFmtId="3" fontId="2" fillId="2" borderId="3" xfId="2" applyNumberFormat="1" applyFont="1" applyFill="1" applyBorder="1" applyProtection="1"/>
    <xf numFmtId="3" fontId="2" fillId="0" borderId="1" xfId="2" applyNumberFormat="1" applyFont="1" applyFill="1" applyBorder="1" applyProtection="1"/>
    <xf numFmtId="3" fontId="2" fillId="0" borderId="0" xfId="2" applyNumberFormat="1" applyFont="1" applyFill="1" applyBorder="1" applyProtection="1"/>
    <xf numFmtId="3" fontId="2" fillId="0" borderId="3" xfId="2" applyNumberFormat="1" applyFont="1" applyFill="1" applyBorder="1" applyProtection="1"/>
    <xf numFmtId="3" fontId="11" fillId="0" borderId="0" xfId="2" applyNumberFormat="1" applyFont="1" applyFill="1" applyProtection="1"/>
    <xf numFmtId="166" fontId="11" fillId="0" borderId="0" xfId="2" applyNumberFormat="1" applyFont="1" applyFill="1" applyProtection="1"/>
    <xf numFmtId="4" fontId="11" fillId="0" borderId="0" xfId="2" applyNumberFormat="1" applyFont="1" applyFill="1" applyProtection="1"/>
    <xf numFmtId="3" fontId="4" fillId="0" borderId="0" xfId="2" applyNumberFormat="1" applyFont="1" applyFill="1" applyBorder="1" applyProtection="1"/>
    <xf numFmtId="3" fontId="11" fillId="0" borderId="0" xfId="2" applyNumberFormat="1" applyFont="1" applyFill="1" applyProtection="1">
      <protection locked="0"/>
    </xf>
    <xf numFmtId="166" fontId="11" fillId="0" borderId="0" xfId="2" applyNumberFormat="1" applyFont="1" applyFill="1" applyProtection="1">
      <protection locked="0"/>
    </xf>
    <xf numFmtId="4" fontId="11" fillId="0" borderId="0" xfId="2" applyNumberFormat="1" applyFont="1" applyFill="1" applyProtection="1">
      <protection locked="0"/>
    </xf>
    <xf numFmtId="3" fontId="4" fillId="0" borderId="0" xfId="2" applyNumberFormat="1" applyFont="1" applyFill="1" applyProtection="1"/>
    <xf numFmtId="166" fontId="4" fillId="0" borderId="0" xfId="2" applyNumberFormat="1" applyFont="1" applyFill="1" applyProtection="1"/>
    <xf numFmtId="4" fontId="4" fillId="0" borderId="0" xfId="2" applyNumberFormat="1" applyFont="1" applyFill="1" applyProtection="1"/>
    <xf numFmtId="3" fontId="20" fillId="7" borderId="0" xfId="2" applyNumberFormat="1" applyFont="1" applyFill="1" applyAlignment="1" applyProtection="1">
      <alignment horizontal="center"/>
    </xf>
    <xf numFmtId="166" fontId="2" fillId="7" borderId="0" xfId="2" applyNumberFormat="1" applyFont="1" applyFill="1" applyAlignment="1" applyProtection="1">
      <alignment horizontal="center"/>
    </xf>
    <xf numFmtId="4" fontId="2" fillId="7" borderId="0" xfId="2" applyNumberFormat="1" applyFont="1" applyFill="1" applyAlignment="1" applyProtection="1">
      <alignment horizontal="center"/>
    </xf>
    <xf numFmtId="167" fontId="11" fillId="6" borderId="1" xfId="2" applyNumberFormat="1" applyFont="1" applyFill="1" applyBorder="1" applyProtection="1">
      <protection locked="0"/>
    </xf>
    <xf numFmtId="1" fontId="11" fillId="6" borderId="1" xfId="2" applyNumberFormat="1" applyFont="1" applyFill="1" applyBorder="1" applyProtection="1">
      <protection locked="0"/>
    </xf>
    <xf numFmtId="3" fontId="0" fillId="0" borderId="0" xfId="2" applyNumberFormat="1" applyFont="1" applyFill="1" applyBorder="1" applyProtection="1">
      <protection locked="0"/>
    </xf>
    <xf numFmtId="166" fontId="0" fillId="0" borderId="0" xfId="2" applyNumberFormat="1" applyFont="1" applyFill="1" applyBorder="1" applyProtection="1">
      <protection locked="0"/>
    </xf>
    <xf numFmtId="4" fontId="0" fillId="0" borderId="0" xfId="2" applyNumberFormat="1" applyFont="1" applyFill="1" applyBorder="1" applyProtection="1">
      <protection locked="0"/>
    </xf>
    <xf numFmtId="3" fontId="4" fillId="0" borderId="0" xfId="2" applyNumberFormat="1" applyFont="1" applyFill="1" applyBorder="1" applyProtection="1">
      <protection locked="0"/>
    </xf>
    <xf numFmtId="166" fontId="4" fillId="0" borderId="0" xfId="2" applyNumberFormat="1" applyFont="1" applyFill="1" applyBorder="1" applyProtection="1">
      <protection locked="0"/>
    </xf>
    <xf numFmtId="4" fontId="4" fillId="0" borderId="0" xfId="2" applyNumberFormat="1" applyFont="1" applyFill="1" applyBorder="1" applyProtection="1">
      <protection locked="0"/>
    </xf>
    <xf numFmtId="3" fontId="4" fillId="6" borderId="1" xfId="2" applyNumberFormat="1" applyFont="1" applyFill="1" applyBorder="1" applyProtection="1">
      <protection locked="0"/>
    </xf>
    <xf numFmtId="166" fontId="4" fillId="6" borderId="1" xfId="2" applyNumberFormat="1" applyFont="1" applyFill="1" applyBorder="1" applyProtection="1">
      <protection locked="0"/>
    </xf>
    <xf numFmtId="166" fontId="4" fillId="0" borderId="0" xfId="2" applyNumberFormat="1" applyFont="1" applyProtection="1"/>
    <xf numFmtId="4" fontId="4" fillId="0" borderId="0" xfId="2" applyNumberFormat="1" applyFont="1" applyProtection="1"/>
    <xf numFmtId="4" fontId="9" fillId="6" borderId="1" xfId="0" applyNumberFormat="1" applyFont="1" applyFill="1" applyBorder="1" applyProtection="1">
      <protection locked="0"/>
    </xf>
    <xf numFmtId="3" fontId="4" fillId="0" borderId="1" xfId="2" applyNumberFormat="1" applyFont="1" applyBorder="1" applyProtection="1"/>
    <xf numFmtId="3" fontId="4" fillId="6" borderId="25" xfId="2" applyNumberFormat="1" applyFont="1" applyFill="1" applyBorder="1" applyProtection="1"/>
    <xf numFmtId="3" fontId="4" fillId="6" borderId="22" xfId="2" applyNumberFormat="1" applyFont="1" applyFill="1" applyBorder="1" applyProtection="1"/>
    <xf numFmtId="3" fontId="0" fillId="0" borderId="0" xfId="2" applyNumberFormat="1" applyFont="1" applyAlignment="1" applyProtection="1">
      <alignment horizontal="center"/>
      <protection locked="0"/>
    </xf>
    <xf numFmtId="166" fontId="0" fillId="0" borderId="0" xfId="2" applyNumberFormat="1" applyFont="1" applyAlignment="1" applyProtection="1">
      <alignment horizontal="center"/>
      <protection locked="0"/>
    </xf>
    <xf numFmtId="4" fontId="4" fillId="0" borderId="0" xfId="2" applyNumberFormat="1" applyFont="1" applyAlignment="1" applyProtection="1">
      <alignment horizontal="center"/>
      <protection locked="0"/>
    </xf>
    <xf numFmtId="3" fontId="11" fillId="6" borderId="1" xfId="2" applyNumberFormat="1" applyFont="1" applyFill="1" applyBorder="1" applyAlignment="1" applyProtection="1">
      <alignment horizontal="center"/>
      <protection locked="0"/>
    </xf>
    <xf numFmtId="166" fontId="11" fillId="6" borderId="1" xfId="2" applyNumberFormat="1" applyFont="1" applyFill="1" applyBorder="1" applyAlignment="1" applyProtection="1">
      <alignment horizontal="center"/>
      <protection locked="0"/>
    </xf>
    <xf numFmtId="4" fontId="4" fillId="6" borderId="1" xfId="2" applyNumberFormat="1" applyFont="1" applyFill="1" applyBorder="1" applyAlignment="1" applyProtection="1">
      <alignment horizontal="center"/>
      <protection locked="0"/>
    </xf>
    <xf numFmtId="3" fontId="21" fillId="0" borderId="0" xfId="2" applyNumberFormat="1" applyFont="1" applyBorder="1" applyProtection="1"/>
    <xf numFmtId="3" fontId="21" fillId="11" borderId="1" xfId="2" applyNumberFormat="1" applyFont="1" applyFill="1" applyBorder="1" applyAlignment="1" applyProtection="1">
      <alignment horizontal="center"/>
      <protection locked="0"/>
    </xf>
    <xf numFmtId="166" fontId="21" fillId="11" borderId="1" xfId="2" applyNumberFormat="1" applyFont="1" applyFill="1" applyBorder="1" applyAlignment="1" applyProtection="1">
      <alignment horizontal="center"/>
      <protection locked="0"/>
    </xf>
    <xf numFmtId="4" fontId="21" fillId="11" borderId="1" xfId="2" applyNumberFormat="1" applyFont="1" applyFill="1" applyBorder="1" applyAlignment="1" applyProtection="1">
      <alignment horizontal="center"/>
      <protection locked="0"/>
    </xf>
    <xf numFmtId="3" fontId="20" fillId="0" borderId="0" xfId="2" applyNumberFormat="1" applyFont="1" applyAlignment="1" applyProtection="1">
      <alignment horizontal="center"/>
    </xf>
    <xf numFmtId="166" fontId="2" fillId="0" borderId="0" xfId="2" applyNumberFormat="1" applyFont="1" applyAlignment="1" applyProtection="1">
      <alignment horizontal="center"/>
    </xf>
    <xf numFmtId="4" fontId="2" fillId="0" borderId="0" xfId="2" applyNumberFormat="1" applyFont="1" applyAlignment="1" applyProtection="1">
      <alignment horizontal="center"/>
    </xf>
    <xf numFmtId="3" fontId="4" fillId="9" borderId="0" xfId="2" applyNumberFormat="1" applyFont="1" applyFill="1" applyBorder="1" applyProtection="1"/>
    <xf numFmtId="3" fontId="20" fillId="9" borderId="0" xfId="2" applyNumberFormat="1" applyFont="1" applyFill="1" applyAlignment="1" applyProtection="1">
      <alignment horizontal="center"/>
    </xf>
    <xf numFmtId="166" fontId="2" fillId="9" borderId="0" xfId="2" applyNumberFormat="1" applyFont="1" applyFill="1" applyAlignment="1" applyProtection="1">
      <alignment horizontal="center"/>
    </xf>
    <xf numFmtId="4" fontId="2" fillId="9" borderId="0" xfId="2" applyNumberFormat="1" applyFont="1" applyFill="1" applyAlignment="1" applyProtection="1">
      <alignment horizontal="center"/>
    </xf>
    <xf numFmtId="3" fontId="20" fillId="0" borderId="0" xfId="2" applyNumberFormat="1" applyFont="1" applyAlignment="1" applyProtection="1">
      <alignment horizontal="center"/>
      <protection locked="0"/>
    </xf>
    <xf numFmtId="166" fontId="2" fillId="0" borderId="0" xfId="2" applyNumberFormat="1" applyFont="1" applyAlignment="1" applyProtection="1">
      <alignment horizontal="center"/>
      <protection locked="0"/>
    </xf>
    <xf numFmtId="4" fontId="2" fillId="0" borderId="0" xfId="2" applyNumberFormat="1" applyFont="1" applyAlignment="1" applyProtection="1">
      <alignment horizontal="center"/>
      <protection locked="0"/>
    </xf>
    <xf numFmtId="3" fontId="4" fillId="0" borderId="0" xfId="2" applyNumberFormat="1" applyFont="1" applyFill="1" applyProtection="1">
      <protection locked="0"/>
    </xf>
    <xf numFmtId="166" fontId="4" fillId="0" borderId="0" xfId="2" applyNumberFormat="1" applyFont="1" applyFill="1" applyProtection="1">
      <protection locked="0"/>
    </xf>
    <xf numFmtId="4" fontId="4" fillId="0" borderId="0" xfId="2" applyNumberFormat="1" applyFont="1" applyFill="1" applyProtection="1">
      <protection locked="0"/>
    </xf>
    <xf numFmtId="1" fontId="4" fillId="0" borderId="0" xfId="2" applyNumberFormat="1" applyFont="1" applyBorder="1" applyProtection="1"/>
    <xf numFmtId="166" fontId="4" fillId="0" borderId="0" xfId="2" applyNumberFormat="1" applyFont="1" applyFill="1" applyBorder="1" applyProtection="1"/>
    <xf numFmtId="4" fontId="4" fillId="0" borderId="0" xfId="2" applyNumberFormat="1" applyFont="1" applyFill="1" applyBorder="1" applyProtection="1"/>
    <xf numFmtId="3" fontId="4" fillId="0" borderId="0" xfId="2" applyNumberFormat="1" applyFont="1" applyFill="1" applyAlignment="1" applyProtection="1">
      <alignment horizontal="right"/>
    </xf>
    <xf numFmtId="3" fontId="11" fillId="7" borderId="0" xfId="2" applyNumberFormat="1" applyFont="1" applyFill="1" applyProtection="1"/>
    <xf numFmtId="3" fontId="2" fillId="0" borderId="0" xfId="2" applyNumberFormat="1" applyFont="1" applyBorder="1" applyAlignment="1" applyProtection="1">
      <alignment horizontal="center"/>
    </xf>
    <xf numFmtId="3" fontId="2" fillId="0" borderId="21" xfId="2" applyNumberFormat="1" applyFont="1" applyBorder="1" applyAlignment="1" applyProtection="1">
      <alignment horizontal="center"/>
    </xf>
    <xf numFmtId="3" fontId="2" fillId="0" borderId="0" xfId="2" applyNumberFormat="1" applyFont="1" applyAlignment="1" applyProtection="1">
      <alignment horizontal="center"/>
    </xf>
    <xf numFmtId="4" fontId="2" fillId="0" borderId="0" xfId="2" applyNumberFormat="1" applyFont="1" applyFill="1" applyBorder="1" applyProtection="1"/>
    <xf numFmtId="3" fontId="0" fillId="0" borderId="0" xfId="2" applyNumberFormat="1" applyFont="1" applyFill="1" applyBorder="1" applyProtection="1"/>
    <xf numFmtId="166" fontId="0" fillId="0" borderId="0" xfId="2" applyNumberFormat="1" applyFont="1" applyFill="1" applyBorder="1" applyProtection="1"/>
    <xf numFmtId="3" fontId="0" fillId="3" borderId="0" xfId="2" applyNumberFormat="1" applyFont="1" applyFill="1" applyBorder="1" applyProtection="1"/>
    <xf numFmtId="166" fontId="0" fillId="3" borderId="0" xfId="2" applyNumberFormat="1" applyFont="1" applyFill="1" applyBorder="1" applyProtection="1"/>
    <xf numFmtId="3" fontId="2" fillId="0" borderId="0" xfId="2" applyNumberFormat="1" applyFont="1" applyFill="1" applyProtection="1"/>
    <xf numFmtId="166" fontId="2" fillId="0" borderId="0" xfId="2" applyNumberFormat="1" applyFont="1" applyFill="1" applyProtection="1"/>
    <xf numFmtId="4" fontId="2" fillId="0" borderId="0" xfId="2" applyNumberFormat="1" applyFont="1" applyFill="1" applyProtection="1"/>
    <xf numFmtId="3" fontId="4" fillId="6" borderId="1" xfId="2" applyNumberFormat="1" applyFont="1" applyFill="1" applyBorder="1" applyProtection="1"/>
    <xf numFmtId="4" fontId="2" fillId="6" borderId="1" xfId="2" applyNumberFormat="1" applyFont="1" applyFill="1" applyBorder="1" applyProtection="1"/>
    <xf numFmtId="4" fontId="4" fillId="6" borderId="1" xfId="2" applyNumberFormat="1" applyFont="1" applyFill="1" applyBorder="1" applyProtection="1"/>
    <xf numFmtId="166" fontId="2" fillId="6" borderId="1" xfId="2" applyNumberFormat="1" applyFont="1" applyFill="1" applyBorder="1" applyProtection="1"/>
    <xf numFmtId="3" fontId="6" fillId="0" borderId="0" xfId="2" applyNumberFormat="1" applyFont="1" applyBorder="1" applyAlignment="1" applyProtection="1">
      <alignment horizontal="center"/>
    </xf>
    <xf numFmtId="166" fontId="2" fillId="0" borderId="0" xfId="2" applyNumberFormat="1" applyFont="1" applyBorder="1" applyAlignment="1" applyProtection="1">
      <alignment horizontal="center"/>
    </xf>
    <xf numFmtId="4" fontId="2" fillId="0" borderId="0" xfId="2" applyNumberFormat="1" applyFont="1" applyBorder="1" applyAlignment="1" applyProtection="1">
      <alignment horizontal="center"/>
    </xf>
    <xf numFmtId="3" fontId="6" fillId="0" borderId="20" xfId="2" applyNumberFormat="1" applyFont="1" applyBorder="1" applyAlignment="1" applyProtection="1">
      <alignment horizontal="center"/>
    </xf>
    <xf numFmtId="166" fontId="2" fillId="0" borderId="20" xfId="2" applyNumberFormat="1" applyFont="1" applyBorder="1" applyAlignment="1" applyProtection="1">
      <alignment horizontal="center"/>
    </xf>
    <xf numFmtId="4" fontId="2" fillId="0" borderId="20" xfId="2" applyNumberFormat="1" applyFont="1" applyBorder="1" applyAlignment="1" applyProtection="1">
      <alignment horizontal="center"/>
    </xf>
    <xf numFmtId="4" fontId="4" fillId="9" borderId="0" xfId="0" applyNumberFormat="1" applyFont="1" applyFill="1" applyProtection="1"/>
    <xf numFmtId="4" fontId="17" fillId="6" borderId="1" xfId="2" applyNumberFormat="1" applyFont="1" applyFill="1" applyBorder="1" applyProtection="1"/>
    <xf numFmtId="3" fontId="4" fillId="0" borderId="0" xfId="2" applyNumberFormat="1" applyFont="1" applyAlignment="1" applyProtection="1">
      <alignment horizontal="center"/>
    </xf>
    <xf numFmtId="4" fontId="4" fillId="12" borderId="1" xfId="2" applyNumberFormat="1" applyFont="1" applyFill="1" applyBorder="1" applyAlignment="1" applyProtection="1">
      <alignment horizontal="center"/>
      <protection locked="0"/>
    </xf>
    <xf numFmtId="166" fontId="11" fillId="12" borderId="1" xfId="2" applyNumberFormat="1" applyFont="1" applyFill="1" applyBorder="1" applyAlignment="1" applyProtection="1">
      <alignment horizontal="center"/>
      <protection locked="0"/>
    </xf>
    <xf numFmtId="3" fontId="11" fillId="12" borderId="1" xfId="2" applyNumberFormat="1" applyFont="1" applyFill="1" applyBorder="1" applyAlignment="1" applyProtection="1">
      <alignment horizontal="center"/>
      <protection locked="0"/>
    </xf>
    <xf numFmtId="4" fontId="9" fillId="0" borderId="0" xfId="0" applyNumberFormat="1" applyFont="1" applyProtection="1">
      <protection locked="0"/>
    </xf>
    <xf numFmtId="3" fontId="0" fillId="2" borderId="1" xfId="2" applyNumberFormat="1" applyFont="1" applyFill="1" applyBorder="1" applyProtection="1"/>
    <xf numFmtId="165" fontId="0" fillId="0" borderId="0" xfId="2" applyFont="1" applyBorder="1" applyProtection="1"/>
    <xf numFmtId="3" fontId="4" fillId="7" borderId="0" xfId="1" applyNumberFormat="1" applyFont="1" applyFill="1" applyProtection="1"/>
    <xf numFmtId="166" fontId="4" fillId="6" borderId="1" xfId="1" applyNumberFormat="1" applyFont="1" applyFill="1" applyBorder="1" applyAlignment="1" applyProtection="1">
      <alignment horizontal="center"/>
      <protection locked="0"/>
    </xf>
    <xf numFmtId="3" fontId="4" fillId="6" borderId="1" xfId="1" applyNumberFormat="1" applyFont="1" applyFill="1" applyBorder="1" applyAlignment="1" applyProtection="1">
      <alignment horizontal="center"/>
      <protection locked="0"/>
    </xf>
    <xf numFmtId="167" fontId="4" fillId="6" borderId="1" xfId="1" applyNumberFormat="1" applyFont="1" applyFill="1" applyBorder="1" applyProtection="1">
      <protection locked="0"/>
    </xf>
    <xf numFmtId="10" fontId="2" fillId="0" borderId="0" xfId="1" applyNumberFormat="1" applyFont="1" applyFill="1" applyBorder="1" applyProtection="1"/>
    <xf numFmtId="3" fontId="2" fillId="2" borderId="4" xfId="1" applyNumberFormat="1" applyFont="1" applyFill="1" applyBorder="1" applyProtection="1"/>
    <xf numFmtId="0" fontId="16" fillId="0" borderId="0" xfId="0" applyFont="1"/>
    <xf numFmtId="1" fontId="4" fillId="6" borderId="1" xfId="1" applyNumberFormat="1" applyFont="1" applyFill="1" applyBorder="1" applyProtection="1">
      <protection locked="0"/>
    </xf>
    <xf numFmtId="4" fontId="4" fillId="6" borderId="0" xfId="1" applyNumberFormat="1" applyFont="1" applyFill="1" applyBorder="1" applyProtection="1">
      <protection locked="0"/>
    </xf>
    <xf numFmtId="166" fontId="4" fillId="6" borderId="0" xfId="1" applyNumberFormat="1" applyFont="1" applyFill="1" applyBorder="1" applyProtection="1">
      <protection locked="0"/>
    </xf>
    <xf numFmtId="3" fontId="4" fillId="6" borderId="0" xfId="1" applyNumberFormat="1" applyFont="1" applyFill="1" applyBorder="1" applyProtection="1">
      <protection locked="0"/>
    </xf>
    <xf numFmtId="168" fontId="17" fillId="6" borderId="1" xfId="2" applyNumberFormat="1" applyFont="1" applyFill="1" applyBorder="1" applyProtection="1"/>
    <xf numFmtId="3" fontId="4" fillId="7" borderId="0" xfId="2" applyNumberFormat="1" applyFont="1" applyFill="1" applyProtection="1"/>
    <xf numFmtId="3" fontId="4" fillId="0" borderId="0" xfId="0" applyNumberFormat="1" applyFont="1" applyFill="1" applyAlignment="1" applyProtection="1">
      <alignment horizontal="right"/>
    </xf>
    <xf numFmtId="3" fontId="0" fillId="0" borderId="0" xfId="0" applyNumberFormat="1" applyProtection="1"/>
    <xf numFmtId="4" fontId="4" fillId="0" borderId="0" xfId="0" quotePrefix="1" applyNumberFormat="1" applyFont="1" applyFill="1" applyProtection="1"/>
    <xf numFmtId="3" fontId="2" fillId="0" borderId="0" xfId="0" applyNumberFormat="1" applyFont="1" applyAlignment="1" applyProtection="1">
      <alignment horizontal="center"/>
    </xf>
    <xf numFmtId="3" fontId="2" fillId="9" borderId="0" xfId="0" applyNumberFormat="1" applyFont="1" applyFill="1" applyAlignment="1" applyProtection="1">
      <alignment horizontal="center"/>
    </xf>
    <xf numFmtId="3" fontId="2" fillId="7" borderId="0" xfId="0" applyNumberFormat="1" applyFont="1" applyFill="1" applyAlignment="1" applyProtection="1">
      <alignment horizontal="center"/>
    </xf>
    <xf numFmtId="3" fontId="21" fillId="0" borderId="0" xfId="0" applyNumberFormat="1" applyFont="1" applyProtection="1"/>
    <xf numFmtId="166" fontId="4" fillId="6" borderId="1" xfId="2" applyNumberFormat="1" applyFont="1" applyFill="1" applyBorder="1" applyAlignment="1" applyProtection="1">
      <alignment horizontal="center"/>
      <protection locked="0"/>
    </xf>
    <xf numFmtId="3" fontId="4" fillId="6" borderId="1" xfId="2" applyNumberFormat="1" applyFont="1" applyFill="1" applyBorder="1" applyAlignment="1" applyProtection="1">
      <alignment horizontal="right"/>
      <protection locked="0"/>
    </xf>
    <xf numFmtId="3" fontId="21" fillId="11" borderId="1" xfId="2" applyNumberFormat="1" applyFont="1" applyFill="1" applyBorder="1" applyAlignment="1" applyProtection="1">
      <alignment horizontal="right"/>
      <protection locked="0"/>
    </xf>
    <xf numFmtId="3" fontId="4" fillId="6" borderId="1" xfId="2" applyNumberFormat="1" applyFont="1" applyFill="1" applyBorder="1" applyAlignment="1" applyProtection="1">
      <alignment horizontal="center"/>
      <protection locked="0"/>
    </xf>
    <xf numFmtId="4" fontId="4" fillId="6" borderId="1" xfId="2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Border="1" applyProtection="1"/>
    <xf numFmtId="4" fontId="4" fillId="6" borderId="1" xfId="0" applyNumberFormat="1" applyFont="1" applyFill="1" applyBorder="1" applyProtection="1">
      <protection locked="0"/>
    </xf>
    <xf numFmtId="3" fontId="0" fillId="0" borderId="0" xfId="0" applyNumberFormat="1" applyBorder="1" applyProtection="1"/>
    <xf numFmtId="167" fontId="4" fillId="6" borderId="1" xfId="2" applyNumberFormat="1" applyFont="1" applyFill="1" applyBorder="1" applyProtection="1">
      <protection locked="0"/>
    </xf>
    <xf numFmtId="3" fontId="0" fillId="9" borderId="0" xfId="0" applyNumberFormat="1" applyFill="1" applyProtection="1"/>
    <xf numFmtId="4" fontId="4" fillId="6" borderId="1" xfId="2" applyNumberFormat="1" applyFont="1" applyFill="1" applyBorder="1" applyAlignment="1" applyProtection="1">
      <alignment wrapText="1"/>
      <protection locked="0"/>
    </xf>
    <xf numFmtId="3" fontId="0" fillId="0" borderId="0" xfId="0" applyNumberFormat="1" applyFill="1" applyProtection="1"/>
    <xf numFmtId="3" fontId="2" fillId="3" borderId="2" xfId="2" applyNumberFormat="1" applyFont="1" applyFill="1" applyBorder="1" applyProtection="1"/>
    <xf numFmtId="171" fontId="0" fillId="0" borderId="0" xfId="5" applyNumberFormat="1" applyFont="1" applyProtection="1"/>
    <xf numFmtId="3" fontId="2" fillId="0" borderId="0" xfId="3" applyNumberFormat="1" applyFont="1" applyAlignment="1" applyProtection="1">
      <alignment horizontal="center"/>
    </xf>
    <xf numFmtId="3" fontId="4" fillId="0" borderId="0" xfId="6" applyNumberFormat="1" applyAlignment="1" applyProtection="1"/>
    <xf numFmtId="0" fontId="4" fillId="0" borderId="0" xfId="6" applyAlignment="1" applyProtection="1"/>
    <xf numFmtId="4" fontId="4" fillId="0" borderId="0" xfId="6" applyNumberFormat="1" applyProtection="1"/>
    <xf numFmtId="4" fontId="2" fillId="0" borderId="0" xfId="6" applyNumberFormat="1" applyFont="1" applyProtection="1"/>
    <xf numFmtId="4" fontId="0" fillId="0" borderId="0" xfId="3" applyNumberFormat="1" applyFont="1" applyProtection="1"/>
    <xf numFmtId="166" fontId="0" fillId="0" borderId="0" xfId="3" applyNumberFormat="1" applyFont="1" applyProtection="1"/>
    <xf numFmtId="3" fontId="0" fillId="0" borderId="0" xfId="3" applyNumberFormat="1" applyFont="1" applyProtection="1"/>
    <xf numFmtId="4" fontId="17" fillId="0" borderId="0" xfId="6" applyNumberFormat="1" applyFont="1" applyProtection="1"/>
    <xf numFmtId="169" fontId="17" fillId="6" borderId="1" xfId="3" applyNumberFormat="1" applyFont="1" applyFill="1" applyBorder="1" applyProtection="1"/>
    <xf numFmtId="4" fontId="4" fillId="0" borderId="0" xfId="6" applyNumberFormat="1" applyFont="1" applyProtection="1"/>
    <xf numFmtId="4" fontId="19" fillId="0" borderId="0" xfId="6" applyNumberFormat="1" applyFont="1" applyProtection="1"/>
    <xf numFmtId="4" fontId="9" fillId="0" borderId="0" xfId="6" applyNumberFormat="1" applyFont="1" applyProtection="1"/>
    <xf numFmtId="4" fontId="4" fillId="9" borderId="0" xfId="3" applyNumberFormat="1" applyFont="1" applyFill="1" applyProtection="1"/>
    <xf numFmtId="4" fontId="4" fillId="9" borderId="0" xfId="6" applyNumberFormat="1" applyFont="1" applyFill="1" applyProtection="1"/>
    <xf numFmtId="4" fontId="2" fillId="0" borderId="0" xfId="3" applyNumberFormat="1" applyFont="1" applyAlignment="1" applyProtection="1">
      <alignment horizontal="center"/>
    </xf>
    <xf numFmtId="166" fontId="2" fillId="0" borderId="0" xfId="3" applyNumberFormat="1" applyFont="1" applyAlignment="1" applyProtection="1">
      <alignment horizontal="center"/>
    </xf>
    <xf numFmtId="3" fontId="2" fillId="0" borderId="0" xfId="3" applyNumberFormat="1" applyFont="1" applyBorder="1" applyAlignment="1" applyProtection="1">
      <alignment horizontal="center"/>
    </xf>
    <xf numFmtId="4" fontId="4" fillId="0" borderId="0" xfId="6" applyNumberFormat="1" applyAlignment="1" applyProtection="1">
      <alignment horizontal="center"/>
    </xf>
    <xf numFmtId="4" fontId="3" fillId="0" borderId="0" xfId="6" applyNumberFormat="1" applyFont="1" applyFill="1" applyProtection="1"/>
    <xf numFmtId="3" fontId="20" fillId="0" borderId="0" xfId="3" applyNumberFormat="1" applyFont="1" applyAlignment="1" applyProtection="1">
      <alignment horizontal="center"/>
    </xf>
    <xf numFmtId="4" fontId="2" fillId="0" borderId="0" xfId="6" applyNumberFormat="1" applyFont="1" applyAlignment="1" applyProtection="1">
      <alignment horizontal="center"/>
    </xf>
    <xf numFmtId="4" fontId="2" fillId="0" borderId="20" xfId="6" applyNumberFormat="1" applyFont="1" applyBorder="1" applyProtection="1"/>
    <xf numFmtId="4" fontId="4" fillId="0" borderId="20" xfId="6" applyNumberFormat="1" applyBorder="1" applyProtection="1"/>
    <xf numFmtId="4" fontId="2" fillId="0" borderId="20" xfId="3" applyNumberFormat="1" applyFont="1" applyBorder="1" applyAlignment="1" applyProtection="1">
      <alignment horizontal="center"/>
    </xf>
    <xf numFmtId="166" fontId="2" fillId="0" borderId="20" xfId="3" applyNumberFormat="1" applyFont="1" applyBorder="1" applyAlignment="1" applyProtection="1">
      <alignment horizontal="center"/>
    </xf>
    <xf numFmtId="3" fontId="6" fillId="0" borderId="20" xfId="3" applyNumberFormat="1" applyFont="1" applyBorder="1" applyAlignment="1" applyProtection="1">
      <alignment horizontal="center"/>
    </xf>
    <xf numFmtId="4" fontId="4" fillId="0" borderId="20" xfId="6" applyNumberFormat="1" applyBorder="1" applyAlignment="1" applyProtection="1">
      <alignment horizontal="center"/>
    </xf>
    <xf numFmtId="4" fontId="2" fillId="0" borderId="0" xfId="6" applyNumberFormat="1" applyFont="1" applyBorder="1" applyProtection="1"/>
    <xf numFmtId="4" fontId="4" fillId="0" borderId="0" xfId="6" applyNumberFormat="1" applyBorder="1" applyProtection="1"/>
    <xf numFmtId="4" fontId="2" fillId="0" borderId="0" xfId="3" applyNumberFormat="1" applyFont="1" applyBorder="1" applyAlignment="1" applyProtection="1">
      <alignment horizontal="center"/>
    </xf>
    <xf numFmtId="166" fontId="2" fillId="0" borderId="0" xfId="3" applyNumberFormat="1" applyFont="1" applyBorder="1" applyAlignment="1" applyProtection="1">
      <alignment horizontal="center"/>
    </xf>
    <xf numFmtId="3" fontId="6" fillId="0" borderId="0" xfId="3" applyNumberFormat="1" applyFont="1" applyBorder="1" applyAlignment="1" applyProtection="1">
      <alignment horizontal="center"/>
    </xf>
    <xf numFmtId="4" fontId="4" fillId="0" borderId="0" xfId="6" applyNumberFormat="1" applyBorder="1" applyAlignment="1" applyProtection="1">
      <alignment horizontal="center"/>
    </xf>
    <xf numFmtId="4" fontId="2" fillId="0" borderId="0" xfId="6" applyNumberFormat="1" applyFont="1" applyFill="1" applyProtection="1"/>
    <xf numFmtId="4" fontId="4" fillId="0" borderId="0" xfId="6" applyNumberFormat="1" applyFill="1" applyProtection="1"/>
    <xf numFmtId="4" fontId="2" fillId="0" borderId="0" xfId="3" applyNumberFormat="1" applyFont="1" applyFill="1" applyProtection="1"/>
    <xf numFmtId="166" fontId="2" fillId="0" borderId="0" xfId="3" applyNumberFormat="1" applyFont="1" applyFill="1" applyProtection="1"/>
    <xf numFmtId="3" fontId="2" fillId="0" borderId="0" xfId="3" applyNumberFormat="1" applyFont="1" applyFill="1" applyProtection="1"/>
    <xf numFmtId="3" fontId="0" fillId="0" borderId="0" xfId="3" applyNumberFormat="1" applyFont="1" applyFill="1" applyBorder="1" applyProtection="1"/>
    <xf numFmtId="4" fontId="4" fillId="5" borderId="0" xfId="6" applyNumberFormat="1" applyFill="1" applyProtection="1"/>
    <xf numFmtId="4" fontId="8" fillId="0" borderId="0" xfId="6" applyNumberFormat="1" applyFont="1" applyFill="1" applyProtection="1"/>
    <xf numFmtId="4" fontId="0" fillId="0" borderId="0" xfId="3" applyNumberFormat="1" applyFont="1" applyFill="1" applyProtection="1"/>
    <xf numFmtId="170" fontId="2" fillId="6" borderId="1" xfId="6" applyNumberFormat="1" applyFont="1" applyFill="1" applyBorder="1" applyProtection="1"/>
    <xf numFmtId="4" fontId="4" fillId="6" borderId="1" xfId="6" applyNumberFormat="1" applyFont="1" applyFill="1" applyBorder="1" applyAlignment="1" applyProtection="1">
      <alignment wrapText="1"/>
    </xf>
    <xf numFmtId="166" fontId="2" fillId="6" borderId="1" xfId="3" applyNumberFormat="1" applyFont="1" applyFill="1" applyBorder="1" applyProtection="1"/>
    <xf numFmtId="3" fontId="4" fillId="6" borderId="1" xfId="3" applyNumberFormat="1" applyFont="1" applyFill="1" applyBorder="1" applyProtection="1"/>
    <xf numFmtId="3" fontId="0" fillId="0" borderId="0" xfId="3" applyNumberFormat="1" applyFont="1" applyFill="1" applyProtection="1"/>
    <xf numFmtId="4" fontId="4" fillId="0" borderId="0" xfId="6" applyNumberFormat="1" applyFont="1" applyFill="1" applyProtection="1"/>
    <xf numFmtId="4" fontId="2" fillId="6" borderId="1" xfId="6" applyNumberFormat="1" applyFont="1" applyFill="1" applyBorder="1" applyProtection="1"/>
    <xf numFmtId="4" fontId="2" fillId="6" borderId="1" xfId="3" applyNumberFormat="1" applyFont="1" applyFill="1" applyBorder="1" applyProtection="1"/>
    <xf numFmtId="3" fontId="4" fillId="0" borderId="0" xfId="6" applyNumberFormat="1" applyFill="1" applyProtection="1"/>
    <xf numFmtId="4" fontId="2" fillId="3" borderId="0" xfId="6" applyNumberFormat="1" applyFont="1" applyFill="1" applyProtection="1"/>
    <xf numFmtId="4" fontId="0" fillId="3" borderId="0" xfId="3" applyNumberFormat="1" applyFont="1" applyFill="1" applyProtection="1"/>
    <xf numFmtId="166" fontId="0" fillId="3" borderId="0" xfId="3" applyNumberFormat="1" applyFont="1" applyFill="1" applyBorder="1" applyProtection="1"/>
    <xf numFmtId="3" fontId="0" fillId="3" borderId="0" xfId="3" applyNumberFormat="1" applyFont="1" applyFill="1" applyBorder="1" applyProtection="1"/>
    <xf numFmtId="3" fontId="2" fillId="3" borderId="2" xfId="3" applyNumberFormat="1" applyFont="1" applyFill="1" applyBorder="1" applyProtection="1"/>
    <xf numFmtId="4" fontId="2" fillId="3" borderId="0" xfId="3" applyNumberFormat="1" applyFont="1" applyFill="1" applyBorder="1" applyProtection="1"/>
    <xf numFmtId="166" fontId="0" fillId="0" borderId="0" xfId="3" applyNumberFormat="1" applyFont="1" applyFill="1" applyBorder="1" applyProtection="1"/>
    <xf numFmtId="3" fontId="2" fillId="0" borderId="0" xfId="3" applyNumberFormat="1" applyFont="1" applyFill="1" applyBorder="1" applyProtection="1"/>
    <xf numFmtId="4" fontId="2" fillId="0" borderId="0" xfId="3" applyNumberFormat="1" applyFont="1" applyFill="1" applyBorder="1" applyProtection="1"/>
    <xf numFmtId="166" fontId="0" fillId="0" borderId="0" xfId="3" applyNumberFormat="1" applyFont="1" applyFill="1" applyProtection="1"/>
    <xf numFmtId="3" fontId="2" fillId="0" borderId="21" xfId="3" applyNumberFormat="1" applyFont="1" applyBorder="1" applyAlignment="1" applyProtection="1">
      <alignment horizontal="center"/>
    </xf>
    <xf numFmtId="3" fontId="2" fillId="0" borderId="0" xfId="6" applyNumberFormat="1" applyFont="1" applyAlignment="1" applyProtection="1">
      <alignment horizontal="center"/>
    </xf>
    <xf numFmtId="4" fontId="2" fillId="6" borderId="22" xfId="6" applyNumberFormat="1" applyFont="1" applyFill="1" applyBorder="1" applyAlignment="1" applyProtection="1">
      <alignment horizontal="center"/>
    </xf>
    <xf numFmtId="0" fontId="2" fillId="0" borderId="0" xfId="6" applyFont="1" applyBorder="1" applyAlignment="1" applyProtection="1">
      <alignment horizontal="center" wrapText="1"/>
    </xf>
    <xf numFmtId="4" fontId="2" fillId="0" borderId="0" xfId="6" applyNumberFormat="1" applyFont="1" applyBorder="1" applyAlignment="1" applyProtection="1">
      <alignment horizontal="center"/>
    </xf>
    <xf numFmtId="3" fontId="18" fillId="7" borderId="0" xfId="6" applyNumberFormat="1" applyFont="1" applyFill="1" applyAlignment="1" applyProtection="1">
      <alignment horizontal="center"/>
    </xf>
    <xf numFmtId="4" fontId="18" fillId="7" borderId="0" xfId="6" applyNumberFormat="1" applyFont="1" applyFill="1" applyProtection="1"/>
    <xf numFmtId="4" fontId="2" fillId="7" borderId="0" xfId="3" applyNumberFormat="1" applyFont="1" applyFill="1" applyAlignment="1" applyProtection="1">
      <alignment horizontal="center"/>
    </xf>
    <xf numFmtId="166" fontId="2" fillId="7" borderId="0" xfId="3" applyNumberFormat="1" applyFont="1" applyFill="1" applyAlignment="1" applyProtection="1">
      <alignment horizontal="center"/>
    </xf>
    <xf numFmtId="3" fontId="20" fillId="7" borderId="0" xfId="3" applyNumberFormat="1" applyFont="1" applyFill="1" applyAlignment="1" applyProtection="1">
      <alignment horizontal="center"/>
    </xf>
    <xf numFmtId="3" fontId="4" fillId="7" borderId="0" xfId="3" applyNumberFormat="1" applyFont="1" applyFill="1" applyProtection="1"/>
    <xf numFmtId="3" fontId="4" fillId="7" borderId="0" xfId="6" applyNumberFormat="1" applyFill="1" applyProtection="1"/>
    <xf numFmtId="4" fontId="4" fillId="6" borderId="22" xfId="6" applyNumberFormat="1" applyFill="1" applyBorder="1" applyProtection="1"/>
    <xf numFmtId="4" fontId="4" fillId="7" borderId="0" xfId="6" applyNumberFormat="1" applyFill="1" applyBorder="1" applyProtection="1"/>
    <xf numFmtId="167" fontId="4" fillId="0" borderId="0" xfId="6" applyNumberFormat="1" applyFont="1" applyFill="1" applyAlignment="1" applyProtection="1">
      <alignment horizontal="left"/>
    </xf>
    <xf numFmtId="4" fontId="4" fillId="6" borderId="1" xfId="3" applyNumberFormat="1" applyFont="1" applyFill="1" applyBorder="1" applyProtection="1">
      <protection locked="0"/>
    </xf>
    <xf numFmtId="166" fontId="4" fillId="6" borderId="1" xfId="3" applyNumberFormat="1" applyFont="1" applyFill="1" applyBorder="1" applyProtection="1">
      <protection locked="0"/>
    </xf>
    <xf numFmtId="3" fontId="4" fillId="6" borderId="1" xfId="3" applyNumberFormat="1" applyFont="1" applyFill="1" applyBorder="1" applyProtection="1">
      <protection locked="0"/>
    </xf>
    <xf numFmtId="3" fontId="0" fillId="0" borderId="0" xfId="3" applyNumberFormat="1" applyFont="1" applyFill="1" applyAlignment="1" applyProtection="1">
      <alignment horizontal="right"/>
    </xf>
    <xf numFmtId="3" fontId="4" fillId="0" borderId="0" xfId="6" applyNumberFormat="1" applyFont="1" applyFill="1" applyAlignment="1" applyProtection="1">
      <alignment horizontal="right"/>
    </xf>
    <xf numFmtId="4" fontId="4" fillId="6" borderId="22" xfId="6" applyNumberFormat="1" applyFont="1" applyFill="1" applyBorder="1" applyAlignment="1" applyProtection="1">
      <alignment horizontal="right"/>
    </xf>
    <xf numFmtId="4" fontId="4" fillId="6" borderId="25" xfId="6" applyNumberFormat="1" applyFont="1" applyFill="1" applyBorder="1" applyAlignment="1" applyProtection="1">
      <alignment horizontal="right"/>
    </xf>
    <xf numFmtId="4" fontId="4" fillId="6" borderId="1" xfId="6" applyNumberFormat="1" applyFont="1" applyFill="1" applyBorder="1" applyAlignment="1" applyProtection="1">
      <alignment horizontal="right"/>
    </xf>
    <xf numFmtId="4" fontId="4" fillId="0" borderId="0" xfId="6" applyNumberFormat="1" applyFont="1" applyFill="1" applyBorder="1" applyAlignment="1" applyProtection="1">
      <alignment horizontal="right"/>
    </xf>
    <xf numFmtId="10" fontId="4" fillId="0" borderId="0" xfId="6" applyNumberFormat="1" applyFont="1" applyFill="1" applyBorder="1" applyAlignment="1" applyProtection="1">
      <alignment horizontal="right"/>
    </xf>
    <xf numFmtId="4" fontId="0" fillId="0" borderId="0" xfId="3" applyNumberFormat="1" applyFont="1" applyFill="1" applyBorder="1" applyProtection="1"/>
    <xf numFmtId="4" fontId="4" fillId="6" borderId="25" xfId="6" applyNumberFormat="1" applyFill="1" applyBorder="1" applyProtection="1"/>
    <xf numFmtId="4" fontId="4" fillId="0" borderId="1" xfId="6" applyNumberFormat="1" applyFill="1" applyBorder="1" applyProtection="1"/>
    <xf numFmtId="3" fontId="4" fillId="0" borderId="0" xfId="6" applyNumberFormat="1" applyFont="1" applyProtection="1">
      <protection locked="0"/>
    </xf>
    <xf numFmtId="4" fontId="4" fillId="6" borderId="1" xfId="6" applyNumberFormat="1" applyFont="1" applyFill="1" applyBorder="1" applyAlignment="1" applyProtection="1">
      <alignment wrapText="1"/>
      <protection locked="0"/>
    </xf>
    <xf numFmtId="3" fontId="0" fillId="0" borderId="0" xfId="3" applyNumberFormat="1" applyFont="1" applyBorder="1" applyProtection="1"/>
    <xf numFmtId="4" fontId="4" fillId="6" borderId="1" xfId="6" applyNumberFormat="1" applyFill="1" applyBorder="1" applyProtection="1"/>
    <xf numFmtId="3" fontId="4" fillId="0" borderId="0" xfId="6" quotePrefix="1" applyNumberFormat="1" applyFont="1" applyProtection="1">
      <protection locked="0"/>
    </xf>
    <xf numFmtId="169" fontId="2" fillId="0" borderId="0" xfId="6" applyNumberFormat="1" applyFont="1" applyProtection="1">
      <protection locked="0"/>
    </xf>
    <xf numFmtId="4" fontId="4" fillId="0" borderId="0" xfId="6" applyNumberFormat="1" applyFont="1" applyFill="1" applyAlignment="1" applyProtection="1">
      <alignment wrapText="1"/>
      <protection locked="0"/>
    </xf>
    <xf numFmtId="4" fontId="0" fillId="0" borderId="0" xfId="3" applyNumberFormat="1" applyFont="1" applyFill="1" applyProtection="1">
      <protection locked="0"/>
    </xf>
    <xf numFmtId="166" fontId="0" fillId="0" borderId="0" xfId="3" applyNumberFormat="1" applyFont="1" applyFill="1" applyProtection="1">
      <protection locked="0"/>
    </xf>
    <xf numFmtId="3" fontId="0" fillId="0" borderId="0" xfId="3" applyNumberFormat="1" applyFont="1" applyFill="1" applyProtection="1">
      <protection locked="0"/>
    </xf>
    <xf numFmtId="3" fontId="4" fillId="0" borderId="0" xfId="6" applyNumberFormat="1" applyProtection="1"/>
    <xf numFmtId="4" fontId="4" fillId="0" borderId="1" xfId="6" applyNumberFormat="1" applyBorder="1" applyProtection="1"/>
    <xf numFmtId="4" fontId="4" fillId="0" borderId="0" xfId="6" quotePrefix="1" applyNumberFormat="1" applyFont="1" applyProtection="1"/>
    <xf numFmtId="4" fontId="2" fillId="0" borderId="0" xfId="6" applyNumberFormat="1" applyFont="1" applyAlignment="1" applyProtection="1">
      <alignment wrapText="1"/>
    </xf>
    <xf numFmtId="4" fontId="2" fillId="0" borderId="0" xfId="3" applyNumberFormat="1" applyFont="1" applyAlignment="1" applyProtection="1">
      <alignment horizontal="center"/>
      <protection locked="0"/>
    </xf>
    <xf numFmtId="166" fontId="2" fillId="0" borderId="0" xfId="3" applyNumberFormat="1" applyFont="1" applyAlignment="1" applyProtection="1">
      <alignment horizontal="center"/>
      <protection locked="0"/>
    </xf>
    <xf numFmtId="3" fontId="20" fillId="0" borderId="0" xfId="3" applyNumberFormat="1" applyFont="1" applyAlignment="1" applyProtection="1">
      <alignment horizontal="center"/>
      <protection locked="0"/>
    </xf>
    <xf numFmtId="4" fontId="2" fillId="6" borderId="25" xfId="6" applyNumberFormat="1" applyFont="1" applyFill="1" applyBorder="1" applyAlignment="1" applyProtection="1">
      <alignment horizontal="center"/>
    </xf>
    <xf numFmtId="4" fontId="2" fillId="0" borderId="1" xfId="6" applyNumberFormat="1" applyFont="1" applyBorder="1" applyAlignment="1" applyProtection="1">
      <alignment horizontal="center"/>
    </xf>
    <xf numFmtId="4" fontId="2" fillId="9" borderId="0" xfId="6" applyNumberFormat="1" applyFont="1" applyFill="1" applyAlignment="1" applyProtection="1">
      <alignment horizontal="center"/>
    </xf>
    <xf numFmtId="4" fontId="4" fillId="9" borderId="0" xfId="6" applyNumberFormat="1" applyFont="1" applyFill="1" applyAlignment="1" applyProtection="1">
      <alignment wrapText="1"/>
    </xf>
    <xf numFmtId="4" fontId="2" fillId="9" borderId="0" xfId="3" applyNumberFormat="1" applyFont="1" applyFill="1" applyAlignment="1" applyProtection="1">
      <alignment horizontal="center"/>
    </xf>
    <xf numFmtId="166" fontId="2" fillId="9" borderId="0" xfId="3" applyNumberFormat="1" applyFont="1" applyFill="1" applyAlignment="1" applyProtection="1">
      <alignment horizontal="center"/>
    </xf>
    <xf numFmtId="3" fontId="20" fillId="9" borderId="0" xfId="3" applyNumberFormat="1" applyFont="1" applyFill="1" applyAlignment="1" applyProtection="1">
      <alignment horizontal="center"/>
    </xf>
    <xf numFmtId="3" fontId="4" fillId="9" borderId="0" xfId="3" applyNumberFormat="1" applyFont="1" applyFill="1" applyBorder="1" applyProtection="1"/>
    <xf numFmtId="3" fontId="2" fillId="9" borderId="0" xfId="6" applyNumberFormat="1" applyFont="1" applyFill="1" applyAlignment="1" applyProtection="1">
      <alignment horizontal="center"/>
    </xf>
    <xf numFmtId="4" fontId="2" fillId="0" borderId="0" xfId="6" applyNumberFormat="1" applyFont="1" applyFill="1" applyAlignment="1" applyProtection="1">
      <alignment horizontal="left"/>
    </xf>
    <xf numFmtId="3" fontId="2" fillId="0" borderId="3" xfId="3" applyNumberFormat="1" applyFont="1" applyFill="1" applyBorder="1" applyProtection="1"/>
    <xf numFmtId="3" fontId="2" fillId="6" borderId="22" xfId="3" applyNumberFormat="1" applyFont="1" applyFill="1" applyBorder="1" applyProtection="1"/>
    <xf numFmtId="3" fontId="2" fillId="6" borderId="25" xfId="3" applyNumberFormat="1" applyFont="1" applyFill="1" applyBorder="1" applyProtection="1"/>
    <xf numFmtId="3" fontId="2" fillId="6" borderId="1" xfId="3" applyNumberFormat="1" applyFont="1" applyFill="1" applyBorder="1" applyProtection="1"/>
    <xf numFmtId="4" fontId="2" fillId="0" borderId="0" xfId="6" applyNumberFormat="1" applyFont="1" applyFill="1" applyBorder="1" applyAlignment="1" applyProtection="1">
      <alignment horizontal="right"/>
    </xf>
    <xf numFmtId="10" fontId="2" fillId="0" borderId="0" xfId="6" applyNumberFormat="1" applyFont="1" applyFill="1" applyBorder="1" applyAlignment="1" applyProtection="1">
      <alignment horizontal="right"/>
    </xf>
    <xf numFmtId="3" fontId="2" fillId="7" borderId="0" xfId="6" applyNumberFormat="1" applyFont="1" applyFill="1" applyAlignment="1" applyProtection="1">
      <alignment horizontal="center"/>
    </xf>
    <xf numFmtId="4" fontId="2" fillId="7" borderId="1" xfId="6" applyNumberFormat="1" applyFont="1" applyFill="1" applyBorder="1" applyAlignment="1" applyProtection="1">
      <alignment horizontal="center"/>
    </xf>
    <xf numFmtId="4" fontId="4" fillId="7" borderId="0" xfId="6" applyNumberFormat="1" applyFont="1" applyFill="1" applyBorder="1" applyAlignment="1" applyProtection="1">
      <alignment horizontal="right"/>
    </xf>
    <xf numFmtId="10" fontId="4" fillId="7" borderId="0" xfId="6" applyNumberFormat="1" applyFont="1" applyFill="1" applyBorder="1" applyAlignment="1" applyProtection="1">
      <alignment horizontal="right"/>
    </xf>
    <xf numFmtId="3" fontId="21" fillId="7" borderId="0" xfId="6" applyNumberFormat="1" applyFont="1" applyFill="1" applyAlignment="1" applyProtection="1">
      <alignment horizontal="left"/>
    </xf>
    <xf numFmtId="4" fontId="21" fillId="7" borderId="1" xfId="6" applyNumberFormat="1" applyFont="1" applyFill="1" applyBorder="1" applyAlignment="1" applyProtection="1">
      <alignment wrapText="1"/>
    </xf>
    <xf numFmtId="4" fontId="21" fillId="11" borderId="1" xfId="3" applyNumberFormat="1" applyFont="1" applyFill="1" applyBorder="1" applyAlignment="1" applyProtection="1">
      <alignment horizontal="center"/>
      <protection locked="0"/>
    </xf>
    <xf numFmtId="166" fontId="21" fillId="11" borderId="1" xfId="3" applyNumberFormat="1" applyFont="1" applyFill="1" applyBorder="1" applyAlignment="1" applyProtection="1">
      <alignment horizontal="center"/>
      <protection locked="0"/>
    </xf>
    <xf numFmtId="3" fontId="21" fillId="11" borderId="1" xfId="3" applyNumberFormat="1" applyFont="1" applyFill="1" applyBorder="1" applyAlignment="1" applyProtection="1">
      <alignment horizontal="center"/>
      <protection locked="0"/>
    </xf>
    <xf numFmtId="3" fontId="21" fillId="0" borderId="0" xfId="3" applyNumberFormat="1" applyFont="1" applyBorder="1" applyProtection="1"/>
    <xf numFmtId="3" fontId="21" fillId="0" borderId="0" xfId="6" applyNumberFormat="1" applyFont="1" applyProtection="1"/>
    <xf numFmtId="4" fontId="21" fillId="0" borderId="0" xfId="6" applyNumberFormat="1" applyFont="1" applyFill="1" applyBorder="1" applyAlignment="1" applyProtection="1">
      <alignment horizontal="right"/>
    </xf>
    <xf numFmtId="10" fontId="21" fillId="0" borderId="0" xfId="6" applyNumberFormat="1" applyFont="1" applyFill="1" applyBorder="1" applyAlignment="1" applyProtection="1">
      <alignment horizontal="right"/>
    </xf>
    <xf numFmtId="3" fontId="4" fillId="0" borderId="0" xfId="6" applyNumberFormat="1" applyFont="1" applyAlignment="1" applyProtection="1">
      <alignment horizontal="left"/>
    </xf>
    <xf numFmtId="4" fontId="4" fillId="6" borderId="1" xfId="3" applyNumberFormat="1" applyFont="1" applyFill="1" applyBorder="1" applyAlignment="1" applyProtection="1">
      <alignment horizontal="center"/>
      <protection locked="0"/>
    </xf>
    <xf numFmtId="166" fontId="4" fillId="6" borderId="1" xfId="3" applyNumberFormat="1" applyFont="1" applyFill="1" applyBorder="1" applyAlignment="1" applyProtection="1">
      <alignment horizontal="center"/>
      <protection locked="0"/>
    </xf>
    <xf numFmtId="3" fontId="4" fillId="6" borderId="1" xfId="3" applyNumberFormat="1" applyFont="1" applyFill="1" applyBorder="1" applyAlignment="1" applyProtection="1">
      <alignment horizontal="center"/>
      <protection locked="0"/>
    </xf>
    <xf numFmtId="4" fontId="4" fillId="0" borderId="0" xfId="6" applyNumberFormat="1" applyFont="1" applyAlignment="1" applyProtection="1">
      <alignment wrapText="1"/>
    </xf>
    <xf numFmtId="4" fontId="0" fillId="0" borderId="0" xfId="3" applyNumberFormat="1" applyFont="1" applyAlignment="1" applyProtection="1">
      <alignment horizontal="center"/>
      <protection locked="0"/>
    </xf>
    <xf numFmtId="166" fontId="0" fillId="0" borderId="0" xfId="3" applyNumberFormat="1" applyFont="1" applyAlignment="1" applyProtection="1">
      <alignment horizontal="center"/>
      <protection locked="0"/>
    </xf>
    <xf numFmtId="3" fontId="0" fillId="0" borderId="0" xfId="3" applyNumberFormat="1" applyFont="1" applyAlignment="1" applyProtection="1">
      <alignment horizontal="center"/>
      <protection locked="0"/>
    </xf>
    <xf numFmtId="3" fontId="4" fillId="6" borderId="22" xfId="3" applyNumberFormat="1" applyFont="1" applyFill="1" applyBorder="1" applyProtection="1"/>
    <xf numFmtId="3" fontId="4" fillId="6" borderId="25" xfId="3" applyNumberFormat="1" applyFont="1" applyFill="1" applyBorder="1" applyProtection="1"/>
    <xf numFmtId="3" fontId="0" fillId="0" borderId="1" xfId="3" applyNumberFormat="1" applyFont="1" applyBorder="1" applyProtection="1"/>
    <xf numFmtId="4" fontId="4" fillId="0" borderId="0" xfId="6" applyNumberFormat="1" applyFont="1" applyFill="1" applyAlignment="1" applyProtection="1">
      <alignment horizontal="left"/>
    </xf>
    <xf numFmtId="4" fontId="4" fillId="0" borderId="0" xfId="6" applyNumberFormat="1" applyFont="1" applyFill="1" applyAlignment="1" applyProtection="1">
      <alignment wrapText="1"/>
    </xf>
    <xf numFmtId="3" fontId="4" fillId="0" borderId="0" xfId="6" applyNumberFormat="1" applyFill="1" applyBorder="1" applyProtection="1"/>
    <xf numFmtId="4" fontId="9" fillId="6" borderId="1" xfId="6" applyNumberFormat="1" applyFont="1" applyFill="1" applyBorder="1" applyProtection="1">
      <protection locked="0"/>
    </xf>
    <xf numFmtId="3" fontId="4" fillId="0" borderId="0" xfId="6" applyNumberFormat="1" applyBorder="1" applyProtection="1"/>
    <xf numFmtId="4" fontId="4" fillId="0" borderId="0" xfId="6" applyNumberFormat="1" applyFont="1" applyAlignment="1" applyProtection="1">
      <alignment horizontal="left" wrapText="1"/>
    </xf>
    <xf numFmtId="4" fontId="4" fillId="0" borderId="0" xfId="6" applyNumberFormat="1" applyAlignment="1" applyProtection="1">
      <alignment wrapText="1"/>
    </xf>
    <xf numFmtId="4" fontId="0" fillId="0" borderId="0" xfId="3" applyNumberFormat="1" applyFont="1" applyFill="1" applyBorder="1" applyProtection="1">
      <protection locked="0"/>
    </xf>
    <xf numFmtId="166" fontId="0" fillId="0" borderId="0" xfId="3" applyNumberFormat="1" applyFont="1" applyFill="1" applyBorder="1" applyProtection="1">
      <protection locked="0"/>
    </xf>
    <xf numFmtId="3" fontId="0" fillId="0" borderId="0" xfId="3" applyNumberFormat="1" applyFont="1" applyFill="1" applyBorder="1" applyProtection="1">
      <protection locked="0"/>
    </xf>
    <xf numFmtId="4" fontId="4" fillId="0" borderId="0" xfId="6" applyNumberFormat="1" applyProtection="1">
      <protection locked="0"/>
    </xf>
    <xf numFmtId="3" fontId="4" fillId="0" borderId="0" xfId="6" applyNumberFormat="1" applyFont="1" applyBorder="1" applyProtection="1"/>
    <xf numFmtId="4" fontId="2" fillId="9" borderId="0" xfId="6" applyNumberFormat="1" applyFont="1" applyFill="1" applyProtection="1"/>
    <xf numFmtId="4" fontId="4" fillId="9" borderId="0" xfId="6" applyNumberFormat="1" applyFill="1" applyProtection="1"/>
    <xf numFmtId="3" fontId="4" fillId="9" borderId="0" xfId="6" applyNumberFormat="1" applyFont="1" applyFill="1" applyBorder="1" applyProtection="1"/>
    <xf numFmtId="3" fontId="4" fillId="9" borderId="0" xfId="6" applyNumberFormat="1" applyFill="1" applyProtection="1"/>
    <xf numFmtId="3" fontId="2" fillId="0" borderId="1" xfId="3" applyNumberFormat="1" applyFont="1" applyFill="1" applyBorder="1" applyProtection="1"/>
    <xf numFmtId="4" fontId="0" fillId="0" borderId="0" xfId="3" applyNumberFormat="1" applyFont="1" applyProtection="1">
      <protection locked="0"/>
    </xf>
    <xf numFmtId="166" fontId="0" fillId="0" borderId="0" xfId="3" applyNumberFormat="1" applyFont="1" applyProtection="1">
      <protection locked="0"/>
    </xf>
    <xf numFmtId="3" fontId="0" fillId="0" borderId="0" xfId="3" applyNumberFormat="1" applyFont="1" applyProtection="1">
      <protection locked="0"/>
    </xf>
    <xf numFmtId="4" fontId="4" fillId="0" borderId="0" xfId="6" applyNumberFormat="1" applyFont="1" applyFill="1" applyAlignment="1" applyProtection="1">
      <alignment horizontal="left" wrapText="1"/>
    </xf>
    <xf numFmtId="4" fontId="9" fillId="0" borderId="0" xfId="6" applyNumberFormat="1" applyFont="1" applyAlignment="1" applyProtection="1">
      <alignment horizontal="left" wrapText="1"/>
    </xf>
    <xf numFmtId="3" fontId="2" fillId="0" borderId="0" xfId="3" applyNumberFormat="1" applyFont="1" applyBorder="1" applyProtection="1"/>
    <xf numFmtId="4" fontId="2" fillId="8" borderId="0" xfId="6" applyNumberFormat="1" applyFont="1" applyFill="1" applyProtection="1"/>
    <xf numFmtId="4" fontId="2" fillId="2" borderId="0" xfId="6" applyNumberFormat="1" applyFont="1" applyFill="1" applyAlignment="1" applyProtection="1">
      <alignment horizontal="left"/>
    </xf>
    <xf numFmtId="4" fontId="0" fillId="2" borderId="0" xfId="3" applyNumberFormat="1" applyFont="1" applyFill="1" applyProtection="1"/>
    <xf numFmtId="166" fontId="0" fillId="2" borderId="0" xfId="3" applyNumberFormat="1" applyFont="1" applyFill="1" applyProtection="1"/>
    <xf numFmtId="3" fontId="0" fillId="2" borderId="0" xfId="3" applyNumberFormat="1" applyFont="1" applyFill="1" applyProtection="1"/>
    <xf numFmtId="3" fontId="2" fillId="2" borderId="3" xfId="3" applyNumberFormat="1" applyFont="1" applyFill="1" applyBorder="1" applyProtection="1"/>
    <xf numFmtId="3" fontId="2" fillId="2" borderId="0" xfId="3" applyNumberFormat="1" applyFont="1" applyFill="1" applyBorder="1" applyProtection="1"/>
    <xf numFmtId="10" fontId="2" fillId="2" borderId="0" xfId="3" applyNumberFormat="1" applyFont="1" applyFill="1" applyBorder="1" applyProtection="1"/>
    <xf numFmtId="4" fontId="5" fillId="0" borderId="0" xfId="6" applyNumberFormat="1" applyFont="1" applyProtection="1"/>
    <xf numFmtId="4" fontId="4" fillId="6" borderId="0" xfId="3" applyNumberFormat="1" applyFont="1" applyFill="1" applyProtection="1">
      <protection locked="0"/>
    </xf>
    <xf numFmtId="166" fontId="4" fillId="6" borderId="0" xfId="3" applyNumberFormat="1" applyFont="1" applyFill="1" applyProtection="1">
      <protection locked="0"/>
    </xf>
    <xf numFmtId="3" fontId="4" fillId="6" borderId="0" xfId="3" applyNumberFormat="1" applyFont="1" applyFill="1" applyProtection="1">
      <protection locked="0"/>
    </xf>
    <xf numFmtId="4" fontId="5" fillId="0" borderId="0" xfId="6" applyNumberFormat="1" applyFont="1" applyAlignment="1" applyProtection="1">
      <alignment wrapText="1"/>
    </xf>
    <xf numFmtId="3" fontId="0" fillId="2" borderId="1" xfId="3" applyNumberFormat="1" applyFont="1" applyFill="1" applyBorder="1" applyProtection="1"/>
    <xf numFmtId="9" fontId="2" fillId="6" borderId="24" xfId="3" applyNumberFormat="1" applyFont="1" applyFill="1" applyBorder="1" applyProtection="1"/>
    <xf numFmtId="9" fontId="2" fillId="6" borderId="22" xfId="3" applyNumberFormat="1" applyFont="1" applyFill="1" applyBorder="1" applyProtection="1"/>
    <xf numFmtId="9" fontId="2" fillId="0" borderId="0" xfId="3" applyNumberFormat="1" applyFont="1" applyFill="1" applyBorder="1" applyProtection="1"/>
    <xf numFmtId="3" fontId="2" fillId="0" borderId="3" xfId="3" applyNumberFormat="1" applyFont="1" applyBorder="1" applyProtection="1"/>
    <xf numFmtId="4" fontId="4" fillId="6" borderId="22" xfId="3" applyNumberFormat="1" applyFont="1" applyFill="1" applyBorder="1" applyProtection="1"/>
    <xf numFmtId="4" fontId="0" fillId="0" borderId="0" xfId="3" applyNumberFormat="1" applyFont="1" applyBorder="1" applyProtection="1"/>
    <xf numFmtId="166" fontId="0" fillId="3" borderId="0" xfId="3" applyNumberFormat="1" applyFont="1" applyFill="1" applyProtection="1"/>
    <xf numFmtId="3" fontId="0" fillId="3" borderId="0" xfId="3" applyNumberFormat="1" applyFont="1" applyFill="1" applyProtection="1"/>
    <xf numFmtId="4" fontId="2" fillId="6" borderId="22" xfId="3" applyNumberFormat="1" applyFont="1" applyFill="1" applyBorder="1" applyProtection="1"/>
    <xf numFmtId="4" fontId="4" fillId="0" borderId="22" xfId="6" applyNumberFormat="1" applyBorder="1" applyProtection="1"/>
    <xf numFmtId="4" fontId="0" fillId="4" borderId="0" xfId="3" applyNumberFormat="1" applyFont="1" applyFill="1" applyProtection="1"/>
    <xf numFmtId="166" fontId="0" fillId="4" borderId="0" xfId="3" applyNumberFormat="1" applyFont="1" applyFill="1" applyProtection="1"/>
    <xf numFmtId="3" fontId="0" fillId="4" borderId="0" xfId="3" applyNumberFormat="1" applyFont="1" applyFill="1" applyProtection="1"/>
    <xf numFmtId="4" fontId="2" fillId="4" borderId="3" xfId="3" applyNumberFormat="1" applyFont="1" applyFill="1" applyBorder="1" applyProtection="1"/>
    <xf numFmtId="4" fontId="2" fillId="4" borderId="23" xfId="3" applyNumberFormat="1" applyFont="1" applyFill="1" applyBorder="1" applyProtection="1"/>
    <xf numFmtId="4" fontId="2" fillId="4" borderId="0" xfId="3" applyNumberFormat="1" applyFont="1" applyFill="1" applyBorder="1" applyProtection="1"/>
    <xf numFmtId="4" fontId="5" fillId="0" borderId="0" xfId="6" applyNumberFormat="1" applyFont="1" applyAlignment="1" applyProtection="1">
      <alignment horizontal="center"/>
    </xf>
    <xf numFmtId="166" fontId="7" fillId="0" borderId="0" xfId="3" applyNumberFormat="1" applyFont="1" applyProtection="1"/>
    <xf numFmtId="0" fontId="5" fillId="0" borderId="0" xfId="6" applyFont="1" applyAlignment="1" applyProtection="1">
      <alignment horizontal="center"/>
    </xf>
    <xf numFmtId="3" fontId="4" fillId="0" borderId="0" xfId="3" applyNumberFormat="1" applyFont="1" applyProtection="1"/>
    <xf numFmtId="4" fontId="4" fillId="0" borderId="0" xfId="3" applyNumberFormat="1" applyFont="1" applyProtection="1"/>
    <xf numFmtId="3" fontId="4" fillId="0" borderId="0" xfId="3" applyNumberFormat="1" applyFont="1" applyFill="1" applyBorder="1" applyProtection="1"/>
    <xf numFmtId="4" fontId="4" fillId="0" borderId="0" xfId="3" applyNumberFormat="1" applyFont="1" applyFill="1" applyProtection="1"/>
    <xf numFmtId="4" fontId="4" fillId="6" borderId="1" xfId="3" applyNumberFormat="1" applyFont="1" applyFill="1" applyBorder="1" applyProtection="1"/>
    <xf numFmtId="4" fontId="4" fillId="0" borderId="0" xfId="3" applyNumberFormat="1" applyFont="1" applyFill="1" applyBorder="1" applyProtection="1"/>
    <xf numFmtId="4" fontId="2" fillId="3" borderId="2" xfId="3" applyNumberFormat="1" applyFont="1" applyFill="1" applyBorder="1" applyProtection="1"/>
    <xf numFmtId="3" fontId="4" fillId="0" borderId="0" xfId="3" applyNumberFormat="1" applyFont="1" applyFill="1" applyAlignment="1" applyProtection="1">
      <alignment horizontal="right"/>
    </xf>
    <xf numFmtId="166" fontId="4" fillId="0" borderId="0" xfId="3" applyNumberFormat="1" applyFont="1" applyFill="1" applyBorder="1" applyProtection="1"/>
    <xf numFmtId="3" fontId="4" fillId="0" borderId="0" xfId="3" applyNumberFormat="1" applyFont="1" applyBorder="1" applyProtection="1"/>
    <xf numFmtId="4" fontId="4" fillId="0" borderId="0" xfId="3" applyNumberFormat="1" applyFont="1" applyFill="1" applyProtection="1">
      <protection locked="0"/>
    </xf>
    <xf numFmtId="166" fontId="4" fillId="0" borderId="0" xfId="3" applyNumberFormat="1" applyFont="1" applyFill="1" applyProtection="1">
      <protection locked="0"/>
    </xf>
    <xf numFmtId="3" fontId="4" fillId="0" borderId="0" xfId="3" applyNumberFormat="1" applyFont="1" applyFill="1" applyProtection="1">
      <protection locked="0"/>
    </xf>
    <xf numFmtId="3" fontId="0" fillId="0" borderId="0" xfId="0" applyNumberFormat="1" applyAlignment="1" applyProtection="1">
      <alignment horizontal="right"/>
    </xf>
    <xf numFmtId="166" fontId="4" fillId="0" borderId="0" xfId="3" applyNumberFormat="1" applyFont="1" applyFill="1" applyProtection="1"/>
    <xf numFmtId="3" fontId="4" fillId="0" borderId="0" xfId="3" applyNumberFormat="1" applyFont="1" applyFill="1" applyProtection="1"/>
    <xf numFmtId="3" fontId="2" fillId="0" borderId="0" xfId="0" applyNumberFormat="1" applyFont="1" applyAlignment="1" applyProtection="1">
      <alignment horizontal="right"/>
    </xf>
    <xf numFmtId="3" fontId="2" fillId="9" borderId="0" xfId="0" applyNumberFormat="1" applyFont="1" applyFill="1" applyAlignment="1" applyProtection="1">
      <alignment horizontal="right"/>
    </xf>
    <xf numFmtId="3" fontId="2" fillId="0" borderId="3" xfId="3" applyNumberFormat="1" applyFont="1" applyFill="1" applyBorder="1" applyAlignment="1" applyProtection="1">
      <alignment horizontal="right"/>
    </xf>
    <xf numFmtId="3" fontId="2" fillId="7" borderId="0" xfId="0" applyNumberFormat="1" applyFont="1" applyFill="1" applyAlignment="1" applyProtection="1">
      <alignment horizontal="right"/>
    </xf>
    <xf numFmtId="4" fontId="4" fillId="12" borderId="1" xfId="3" applyNumberFormat="1" applyFont="1" applyFill="1" applyBorder="1" applyAlignment="1" applyProtection="1">
      <alignment horizontal="center"/>
      <protection locked="0"/>
    </xf>
    <xf numFmtId="166" fontId="4" fillId="12" borderId="1" xfId="3" applyNumberFormat="1" applyFont="1" applyFill="1" applyBorder="1" applyAlignment="1" applyProtection="1">
      <alignment horizontal="center"/>
      <protection locked="0"/>
    </xf>
    <xf numFmtId="3" fontId="4" fillId="12" borderId="1" xfId="3" applyNumberFormat="1" applyFont="1" applyFill="1" applyBorder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 horizontal="right"/>
    </xf>
    <xf numFmtId="3" fontId="4" fillId="0" borderId="0" xfId="3" applyNumberFormat="1" applyFont="1" applyBorder="1" applyAlignment="1" applyProtection="1">
      <alignment horizontal="right"/>
    </xf>
    <xf numFmtId="3" fontId="4" fillId="0" borderId="0" xfId="0" applyNumberFormat="1" applyFont="1" applyAlignment="1" applyProtection="1">
      <alignment horizontal="right"/>
    </xf>
    <xf numFmtId="4" fontId="4" fillId="0" borderId="0" xfId="3" applyNumberFormat="1" applyFont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right"/>
    </xf>
    <xf numFmtId="166" fontId="4" fillId="0" borderId="0" xfId="3" applyNumberFormat="1" applyFont="1" applyProtection="1"/>
    <xf numFmtId="3" fontId="0" fillId="0" borderId="0" xfId="0" applyNumberFormat="1" applyBorder="1" applyAlignment="1" applyProtection="1">
      <alignment horizontal="right"/>
    </xf>
    <xf numFmtId="4" fontId="4" fillId="0" borderId="0" xfId="3" applyNumberFormat="1" applyFont="1" applyFill="1" applyBorder="1" applyProtection="1">
      <protection locked="0"/>
    </xf>
    <xf numFmtId="166" fontId="4" fillId="0" borderId="0" xfId="3" applyNumberFormat="1" applyFont="1" applyFill="1" applyBorder="1" applyProtection="1">
      <protection locked="0"/>
    </xf>
    <xf numFmtId="3" fontId="4" fillId="0" borderId="0" xfId="3" applyNumberFormat="1" applyFont="1" applyFill="1" applyBorder="1" applyProtection="1">
      <protection locked="0"/>
    </xf>
    <xf numFmtId="1" fontId="4" fillId="6" borderId="1" xfId="3" applyNumberFormat="1" applyFont="1" applyFill="1" applyBorder="1" applyProtection="1">
      <protection locked="0"/>
    </xf>
    <xf numFmtId="167" fontId="4" fillId="6" borderId="1" xfId="3" applyNumberFormat="1" applyFont="1" applyFill="1" applyBorder="1" applyProtection="1">
      <protection locked="0"/>
    </xf>
    <xf numFmtId="3" fontId="0" fillId="9" borderId="0" xfId="0" applyNumberFormat="1" applyFill="1" applyAlignment="1" applyProtection="1">
      <alignment horizontal="right"/>
    </xf>
    <xf numFmtId="3" fontId="2" fillId="0" borderId="0" xfId="3" applyNumberFormat="1" applyFont="1" applyFill="1" applyBorder="1" applyAlignment="1" applyProtection="1">
      <alignment horizontal="right"/>
    </xf>
    <xf numFmtId="3" fontId="0" fillId="0" borderId="0" xfId="0" applyNumberFormat="1" applyFill="1" applyAlignment="1" applyProtection="1">
      <alignment horizontal="right"/>
    </xf>
    <xf numFmtId="3" fontId="4" fillId="0" borderId="0" xfId="3" applyNumberFormat="1" applyFont="1" applyFill="1" applyBorder="1" applyAlignment="1" applyProtection="1">
      <alignment horizontal="right"/>
    </xf>
    <xf numFmtId="10" fontId="4" fillId="9" borderId="0" xfId="7" applyNumberFormat="1" applyFont="1" applyFill="1" applyProtection="1"/>
    <xf numFmtId="3" fontId="2" fillId="2" borderId="3" xfId="3" applyNumberFormat="1" applyFont="1" applyFill="1" applyBorder="1" applyAlignment="1" applyProtection="1">
      <alignment horizontal="right"/>
    </xf>
    <xf numFmtId="4" fontId="17" fillId="6" borderId="1" xfId="3" applyNumberFormat="1" applyFont="1" applyFill="1" applyBorder="1" applyProtection="1"/>
    <xf numFmtId="4" fontId="0" fillId="0" borderId="0" xfId="0" applyNumberFormat="1" applyAlignment="1" applyProtection="1">
      <alignment horizontal="center" wrapText="1"/>
    </xf>
    <xf numFmtId="4" fontId="0" fillId="0" borderId="20" xfId="0" applyNumberFormat="1" applyBorder="1" applyAlignment="1" applyProtection="1">
      <alignment horizontal="center" wrapText="1"/>
    </xf>
    <xf numFmtId="4" fontId="0" fillId="0" borderId="0" xfId="0" applyNumberFormat="1" applyBorder="1" applyAlignment="1" applyProtection="1">
      <alignment horizontal="center" wrapText="1"/>
    </xf>
    <xf numFmtId="4" fontId="0" fillId="0" borderId="0" xfId="0" applyNumberFormat="1" applyFill="1" applyAlignment="1" applyProtection="1">
      <alignment wrapText="1"/>
    </xf>
    <xf numFmtId="4" fontId="0" fillId="13" borderId="1" xfId="0" applyNumberFormat="1" applyFont="1" applyFill="1" applyBorder="1" applyAlignment="1" applyProtection="1">
      <protection locked="0"/>
    </xf>
    <xf numFmtId="172" fontId="0" fillId="13" borderId="1" xfId="0" applyNumberFormat="1" applyFont="1" applyFill="1" applyBorder="1" applyAlignment="1" applyProtection="1">
      <protection locked="0"/>
    </xf>
    <xf numFmtId="3" fontId="0" fillId="13" borderId="1" xfId="0" applyNumberFormat="1" applyFont="1" applyFill="1" applyBorder="1" applyAlignment="1" applyProtection="1">
      <protection locked="0"/>
    </xf>
    <xf numFmtId="3" fontId="4" fillId="0" borderId="0" xfId="0" applyNumberFormat="1" applyFont="1" applyFill="1" applyProtection="1">
      <protection locked="0"/>
    </xf>
    <xf numFmtId="4" fontId="4" fillId="0" borderId="1" xfId="0" applyNumberFormat="1" applyFont="1" applyFill="1" applyBorder="1" applyAlignment="1" applyProtection="1">
      <alignment wrapText="1"/>
      <protection locked="0"/>
    </xf>
    <xf numFmtId="4" fontId="0" fillId="14" borderId="1" xfId="0" applyNumberFormat="1" applyFont="1" applyFill="1" applyBorder="1" applyAlignment="1" applyProtection="1">
      <protection locked="0"/>
    </xf>
    <xf numFmtId="172" fontId="0" fillId="14" borderId="1" xfId="0" applyNumberFormat="1" applyFont="1" applyFill="1" applyBorder="1" applyAlignment="1" applyProtection="1">
      <protection locked="0"/>
    </xf>
    <xf numFmtId="3" fontId="0" fillId="14" borderId="1" xfId="0" applyNumberFormat="1" applyFont="1" applyFill="1" applyBorder="1" applyAlignment="1" applyProtection="1">
      <protection locked="0"/>
    </xf>
    <xf numFmtId="4" fontId="0" fillId="0" borderId="22" xfId="0" applyNumberFormat="1" applyFill="1" applyBorder="1" applyProtection="1"/>
    <xf numFmtId="4" fontId="0" fillId="0" borderId="25" xfId="0" applyNumberFormat="1" applyFill="1" applyBorder="1" applyProtection="1"/>
    <xf numFmtId="3" fontId="4" fillId="0" borderId="0" xfId="0" quotePrefix="1" applyNumberFormat="1" applyFont="1" applyFill="1" applyProtection="1">
      <protection locked="0"/>
    </xf>
    <xf numFmtId="1" fontId="4" fillId="0" borderId="0" xfId="3" applyNumberFormat="1" applyFont="1" applyBorder="1" applyProtection="1"/>
    <xf numFmtId="4" fontId="0" fillId="15" borderId="1" xfId="0" applyNumberFormat="1" applyFont="1" applyFill="1" applyBorder="1" applyAlignment="1" applyProtection="1">
      <protection locked="0"/>
    </xf>
    <xf numFmtId="172" fontId="0" fillId="15" borderId="1" xfId="0" applyNumberFormat="1" applyFont="1" applyFill="1" applyBorder="1" applyAlignment="1" applyProtection="1">
      <protection locked="0"/>
    </xf>
    <xf numFmtId="3" fontId="0" fillId="15" borderId="1" xfId="0" applyNumberFormat="1" applyFont="1" applyFill="1" applyBorder="1" applyAlignment="1" applyProtection="1">
      <protection locked="0"/>
    </xf>
    <xf numFmtId="4" fontId="0" fillId="9" borderId="22" xfId="0" applyNumberFormat="1" applyFill="1" applyBorder="1" applyProtection="1"/>
    <xf numFmtId="4" fontId="0" fillId="9" borderId="25" xfId="0" applyNumberFormat="1" applyFill="1" applyBorder="1" applyProtection="1"/>
    <xf numFmtId="4" fontId="0" fillId="9" borderId="1" xfId="0" applyNumberFormat="1" applyFill="1" applyBorder="1" applyProtection="1"/>
    <xf numFmtId="4" fontId="4" fillId="9" borderId="0" xfId="0" applyNumberFormat="1" applyFont="1" applyFill="1" applyBorder="1" applyAlignment="1" applyProtection="1">
      <alignment horizontal="right"/>
    </xf>
    <xf numFmtId="10" fontId="4" fillId="9" borderId="0" xfId="0" applyNumberFormat="1" applyFont="1" applyFill="1" applyBorder="1" applyAlignment="1" applyProtection="1">
      <alignment horizontal="right"/>
    </xf>
    <xf numFmtId="3" fontId="18" fillId="0" borderId="0" xfId="0" applyNumberFormat="1" applyFont="1" applyFill="1" applyAlignment="1" applyProtection="1">
      <alignment horizontal="center"/>
    </xf>
    <xf numFmtId="4" fontId="18" fillId="0" borderId="0" xfId="0" applyNumberFormat="1" applyFont="1" applyFill="1" applyProtection="1"/>
    <xf numFmtId="4" fontId="2" fillId="0" borderId="0" xfId="3" applyNumberFormat="1" applyFont="1" applyFill="1" applyAlignment="1" applyProtection="1">
      <alignment horizontal="center"/>
    </xf>
    <xf numFmtId="166" fontId="2" fillId="0" borderId="0" xfId="3" applyNumberFormat="1" applyFont="1" applyFill="1" applyAlignment="1" applyProtection="1">
      <alignment horizontal="center"/>
    </xf>
    <xf numFmtId="3" fontId="20" fillId="0" borderId="0" xfId="3" applyNumberFormat="1" applyFont="1" applyFill="1" applyAlignment="1" applyProtection="1">
      <alignment horizontal="center"/>
    </xf>
    <xf numFmtId="4" fontId="2" fillId="0" borderId="22" xfId="0" applyNumberFormat="1" applyFont="1" applyFill="1" applyBorder="1" applyAlignment="1" applyProtection="1">
      <alignment horizontal="center"/>
    </xf>
    <xf numFmtId="4" fontId="2" fillId="0" borderId="25" xfId="0" applyNumberFormat="1" applyFont="1" applyFill="1" applyBorder="1" applyAlignment="1" applyProtection="1">
      <alignment horizontal="center"/>
    </xf>
    <xf numFmtId="4" fontId="2" fillId="0" borderId="1" xfId="0" applyNumberFormat="1" applyFont="1" applyFill="1" applyBorder="1" applyAlignment="1" applyProtection="1">
      <alignment horizontal="center"/>
    </xf>
    <xf numFmtId="3" fontId="21" fillId="0" borderId="0" xfId="0" applyNumberFormat="1" applyFont="1" applyFill="1" applyAlignment="1" applyProtection="1">
      <alignment horizontal="left"/>
    </xf>
    <xf numFmtId="4" fontId="21" fillId="0" borderId="1" xfId="0" applyNumberFormat="1" applyFont="1" applyFill="1" applyBorder="1" applyAlignment="1" applyProtection="1">
      <alignment wrapText="1"/>
    </xf>
    <xf numFmtId="4" fontId="21" fillId="0" borderId="1" xfId="3" applyNumberFormat="1" applyFont="1" applyFill="1" applyBorder="1" applyAlignment="1" applyProtection="1">
      <alignment horizontal="center"/>
      <protection locked="0"/>
    </xf>
    <xf numFmtId="166" fontId="21" fillId="0" borderId="1" xfId="3" applyNumberFormat="1" applyFont="1" applyFill="1" applyBorder="1" applyAlignment="1" applyProtection="1">
      <alignment horizontal="center"/>
      <protection locked="0"/>
    </xf>
    <xf numFmtId="3" fontId="21" fillId="0" borderId="1" xfId="3" applyNumberFormat="1" applyFont="1" applyFill="1" applyBorder="1" applyAlignment="1" applyProtection="1">
      <alignment horizontal="center"/>
      <protection locked="0"/>
    </xf>
    <xf numFmtId="4" fontId="4" fillId="0" borderId="1" xfId="0" applyNumberFormat="1" applyFont="1" applyFill="1" applyBorder="1" applyAlignment="1" applyProtection="1">
      <alignment wrapText="1"/>
    </xf>
    <xf numFmtId="4" fontId="4" fillId="0" borderId="1" xfId="3" applyNumberFormat="1" applyFont="1" applyFill="1" applyBorder="1" applyAlignment="1" applyProtection="1">
      <alignment horizontal="center"/>
      <protection locked="0"/>
    </xf>
    <xf numFmtId="166" fontId="4" fillId="0" borderId="1" xfId="3" applyNumberFormat="1" applyFont="1" applyFill="1" applyBorder="1" applyAlignment="1" applyProtection="1">
      <alignment horizontal="center"/>
      <protection locked="0"/>
    </xf>
    <xf numFmtId="3" fontId="4" fillId="0" borderId="1" xfId="3" applyNumberFormat="1" applyFont="1" applyFill="1" applyBorder="1" applyAlignment="1" applyProtection="1">
      <alignment horizontal="center"/>
      <protection locked="0"/>
    </xf>
    <xf numFmtId="4" fontId="0" fillId="0" borderId="1" xfId="0" applyNumberFormat="1" applyFont="1" applyFill="1" applyBorder="1" applyAlignment="1" applyProtection="1">
      <alignment wrapText="1"/>
    </xf>
    <xf numFmtId="4" fontId="0" fillId="14" borderId="1" xfId="0" applyNumberFormat="1" applyFont="1" applyFill="1" applyBorder="1" applyAlignment="1" applyProtection="1">
      <alignment horizontal="center"/>
      <protection locked="0"/>
    </xf>
    <xf numFmtId="172" fontId="0" fillId="14" borderId="1" xfId="0" applyNumberFormat="1" applyFont="1" applyFill="1" applyBorder="1" applyAlignment="1" applyProtection="1">
      <alignment horizontal="center"/>
      <protection locked="0"/>
    </xf>
    <xf numFmtId="3" fontId="0" fillId="14" borderId="1" xfId="0" applyNumberFormat="1" applyFont="1" applyFill="1" applyBorder="1" applyAlignment="1" applyProtection="1">
      <alignment horizontal="center"/>
      <protection locked="0"/>
    </xf>
    <xf numFmtId="173" fontId="0" fillId="14" borderId="1" xfId="0" applyNumberFormat="1" applyFont="1" applyFill="1" applyBorder="1" applyAlignment="1" applyProtection="1">
      <alignment horizontal="center"/>
      <protection locked="0"/>
    </xf>
    <xf numFmtId="4" fontId="4" fillId="14" borderId="1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Alignment="1" applyProtection="1">
      <alignment wrapText="1"/>
    </xf>
    <xf numFmtId="4" fontId="0" fillId="15" borderId="1" xfId="0" applyNumberFormat="1" applyFont="1" applyFill="1" applyBorder="1" applyAlignment="1" applyProtection="1">
      <alignment horizontal="center"/>
      <protection locked="0"/>
    </xf>
    <xf numFmtId="172" fontId="0" fillId="15" borderId="1" xfId="0" applyNumberFormat="1" applyFont="1" applyFill="1" applyBorder="1" applyAlignment="1" applyProtection="1">
      <alignment horizontal="center"/>
      <protection locked="0"/>
    </xf>
    <xf numFmtId="3" fontId="0" fillId="15" borderId="1" xfId="0" applyNumberFormat="1" applyFont="1" applyFill="1" applyBorder="1" applyAlignment="1" applyProtection="1">
      <alignment horizontal="center"/>
      <protection locked="0"/>
    </xf>
    <xf numFmtId="3" fontId="4" fillId="10" borderId="0" xfId="0" applyNumberFormat="1" applyFont="1" applyFill="1" applyAlignment="1" applyProtection="1">
      <alignment horizontal="left"/>
    </xf>
    <xf numFmtId="4" fontId="0" fillId="10" borderId="22" xfId="0" applyNumberFormat="1" applyFill="1" applyBorder="1" applyProtection="1"/>
    <xf numFmtId="4" fontId="0" fillId="10" borderId="25" xfId="0" applyNumberFormat="1" applyFill="1" applyBorder="1" applyProtection="1"/>
    <xf numFmtId="4" fontId="0" fillId="10" borderId="1" xfId="0" applyNumberFormat="1" applyFill="1" applyBorder="1" applyProtection="1"/>
    <xf numFmtId="4" fontId="4" fillId="10" borderId="0" xfId="0" applyNumberFormat="1" applyFont="1" applyFill="1" applyBorder="1" applyAlignment="1" applyProtection="1">
      <alignment horizontal="right"/>
    </xf>
    <xf numFmtId="10" fontId="4" fillId="10" borderId="0" xfId="0" applyNumberFormat="1" applyFont="1" applyFill="1" applyBorder="1" applyAlignment="1" applyProtection="1">
      <alignment horizontal="right"/>
    </xf>
    <xf numFmtId="4" fontId="0" fillId="10" borderId="0" xfId="0" applyNumberFormat="1" applyFill="1" applyAlignment="1" applyProtection="1">
      <alignment wrapText="1"/>
    </xf>
    <xf numFmtId="4" fontId="0" fillId="10" borderId="0" xfId="0" applyNumberFormat="1" applyFill="1" applyProtection="1"/>
    <xf numFmtId="3" fontId="4" fillId="0" borderId="1" xfId="3" applyNumberFormat="1" applyFont="1" applyBorder="1" applyProtection="1"/>
    <xf numFmtId="4" fontId="22" fillId="13" borderId="1" xfId="0" applyNumberFormat="1" applyFont="1" applyFill="1" applyBorder="1" applyProtection="1">
      <protection locked="0"/>
    </xf>
    <xf numFmtId="4" fontId="0" fillId="0" borderId="0" xfId="0" applyNumberFormat="1" applyFont="1" applyAlignment="1" applyProtection="1">
      <alignment wrapText="1"/>
    </xf>
    <xf numFmtId="167" fontId="0" fillId="15" borderId="1" xfId="0" applyNumberFormat="1" applyFont="1" applyFill="1" applyBorder="1" applyAlignment="1" applyProtection="1">
      <protection locked="0"/>
    </xf>
    <xf numFmtId="167" fontId="0" fillId="13" borderId="1" xfId="0" applyNumberFormat="1" applyFont="1" applyFill="1" applyBorder="1" applyAlignment="1" applyProtection="1">
      <protection locked="0"/>
    </xf>
    <xf numFmtId="10" fontId="2" fillId="0" borderId="0" xfId="3" applyNumberFormat="1" applyFont="1" applyFill="1" applyBorder="1" applyProtection="1"/>
    <xf numFmtId="9" fontId="2" fillId="0" borderId="1" xfId="3" applyNumberFormat="1" applyFont="1" applyFill="1" applyBorder="1" applyProtection="1"/>
    <xf numFmtId="4" fontId="2" fillId="0" borderId="0" xfId="0" applyNumberFormat="1" applyFont="1" applyFill="1" applyAlignment="1" applyProtection="1">
      <alignment horizontal="center" wrapText="1"/>
    </xf>
    <xf numFmtId="1" fontId="0" fillId="16" borderId="0" xfId="0" applyNumberFormat="1" applyFill="1" applyAlignment="1" applyProtection="1"/>
    <xf numFmtId="1" fontId="0" fillId="16" borderId="0" xfId="0" applyNumberFormat="1" applyFill="1" applyProtection="1"/>
    <xf numFmtId="1" fontId="4" fillId="16" borderId="0" xfId="0" applyNumberFormat="1" applyFont="1" applyFill="1" applyProtection="1"/>
    <xf numFmtId="1" fontId="2" fillId="16" borderId="0" xfId="3" applyNumberFormat="1" applyFont="1" applyFill="1" applyBorder="1" applyAlignment="1" applyProtection="1">
      <alignment horizontal="center"/>
    </xf>
    <xf numFmtId="1" fontId="2" fillId="16" borderId="0" xfId="0" applyNumberFormat="1" applyFont="1" applyFill="1" applyAlignment="1" applyProtection="1">
      <alignment horizontal="center"/>
    </xf>
    <xf numFmtId="1" fontId="0" fillId="16" borderId="20" xfId="0" applyNumberFormat="1" applyFill="1" applyBorder="1" applyAlignment="1" applyProtection="1">
      <alignment horizontal="center"/>
    </xf>
    <xf numFmtId="1" fontId="0" fillId="16" borderId="0" xfId="0" applyNumberFormat="1" applyFill="1" applyBorder="1" applyAlignment="1" applyProtection="1">
      <alignment horizontal="center"/>
    </xf>
    <xf numFmtId="1" fontId="4" fillId="16" borderId="0" xfId="3" applyNumberFormat="1" applyFont="1" applyFill="1" applyProtection="1"/>
    <xf numFmtId="1" fontId="2" fillId="16" borderId="0" xfId="3" applyNumberFormat="1" applyFont="1" applyFill="1" applyBorder="1" applyProtection="1"/>
    <xf numFmtId="1" fontId="0" fillId="16" borderId="0" xfId="0" applyNumberFormat="1" applyFill="1" applyAlignment="1" applyProtection="1">
      <alignment horizontal="center"/>
    </xf>
    <xf numFmtId="1" fontId="2" fillId="16" borderId="0" xfId="0" applyNumberFormat="1" applyFont="1" applyFill="1" applyBorder="1" applyAlignment="1" applyProtection="1">
      <alignment horizontal="center"/>
    </xf>
    <xf numFmtId="1" fontId="0" fillId="16" borderId="0" xfId="0" applyNumberFormat="1" applyFill="1" applyBorder="1" applyProtection="1"/>
    <xf numFmtId="1" fontId="4" fillId="16" borderId="0" xfId="0" applyNumberFormat="1" applyFont="1" applyFill="1" applyBorder="1" applyAlignment="1" applyProtection="1">
      <alignment horizontal="right"/>
    </xf>
    <xf numFmtId="1" fontId="2" fillId="16" borderId="0" xfId="0" applyNumberFormat="1" applyFont="1" applyFill="1" applyBorder="1" applyAlignment="1" applyProtection="1">
      <alignment horizontal="right"/>
    </xf>
    <xf numFmtId="1" fontId="21" fillId="16" borderId="0" xfId="0" applyNumberFormat="1" applyFont="1" applyFill="1" applyBorder="1" applyAlignment="1" applyProtection="1">
      <alignment horizontal="right"/>
    </xf>
    <xf numFmtId="4" fontId="0" fillId="17" borderId="22" xfId="0" applyNumberFormat="1" applyFill="1" applyBorder="1" applyProtection="1"/>
    <xf numFmtId="4" fontId="0" fillId="17" borderId="25" xfId="0" applyNumberFormat="1" applyFill="1" applyBorder="1" applyProtection="1"/>
    <xf numFmtId="4" fontId="0" fillId="17" borderId="1" xfId="0" applyNumberFormat="1" applyFill="1" applyBorder="1" applyProtection="1"/>
    <xf numFmtId="4" fontId="4" fillId="17" borderId="0" xfId="0" applyNumberFormat="1" applyFont="1" applyFill="1" applyBorder="1" applyAlignment="1" applyProtection="1">
      <alignment horizontal="right"/>
    </xf>
    <xf numFmtId="10" fontId="4" fillId="17" borderId="0" xfId="0" applyNumberFormat="1" applyFont="1" applyFill="1" applyBorder="1" applyAlignment="1" applyProtection="1">
      <alignment horizontal="right"/>
    </xf>
    <xf numFmtId="4" fontId="4" fillId="0" borderId="0" xfId="3" applyNumberFormat="1" applyFont="1" applyBorder="1" applyProtection="1"/>
    <xf numFmtId="1" fontId="4" fillId="16" borderId="0" xfId="3" applyNumberFormat="1" applyFont="1" applyFill="1" applyBorder="1" applyProtection="1"/>
    <xf numFmtId="1" fontId="5" fillId="16" borderId="0" xfId="0" applyNumberFormat="1" applyFont="1" applyFill="1" applyAlignment="1" applyProtection="1">
      <alignment horizontal="center"/>
    </xf>
    <xf numFmtId="0" fontId="23" fillId="6" borderId="1" xfId="0" applyFont="1" applyFill="1" applyBorder="1" applyAlignment="1" applyProtection="1">
      <alignment shrinkToFit="1"/>
      <protection locked="0"/>
    </xf>
    <xf numFmtId="0" fontId="23" fillId="6" borderId="1" xfId="0" applyFont="1" applyFill="1" applyBorder="1" applyAlignment="1">
      <alignment shrinkToFit="1"/>
    </xf>
    <xf numFmtId="0" fontId="24" fillId="6" borderId="1" xfId="0" applyFont="1" applyFill="1" applyBorder="1" applyAlignment="1">
      <alignment shrinkToFit="1"/>
    </xf>
    <xf numFmtId="0" fontId="23" fillId="6" borderId="1" xfId="0" applyFont="1" applyFill="1" applyBorder="1" applyAlignment="1" applyProtection="1">
      <alignment horizontal="left" shrinkToFit="1"/>
      <protection locked="0"/>
    </xf>
    <xf numFmtId="4" fontId="0" fillId="6" borderId="0" xfId="0" applyNumberFormat="1" applyFill="1" applyProtection="1"/>
    <xf numFmtId="3" fontId="4" fillId="0" borderId="0" xfId="0" applyNumberFormat="1" applyFont="1"/>
    <xf numFmtId="4" fontId="0" fillId="0" borderId="0" xfId="0" applyNumberFormat="1" applyAlignment="1" applyProtection="1"/>
    <xf numFmtId="174" fontId="0" fillId="0" borderId="0" xfId="0" applyNumberFormat="1" applyProtection="1"/>
    <xf numFmtId="4" fontId="21" fillId="0" borderId="1" xfId="0" applyNumberFormat="1" applyFont="1" applyFill="1" applyBorder="1" applyAlignment="1" applyProtection="1">
      <alignment horizontal="center" wrapText="1"/>
    </xf>
    <xf numFmtId="3" fontId="2" fillId="9" borderId="0" xfId="1" applyNumberFormat="1" applyFont="1" applyFill="1" applyBorder="1" applyProtection="1"/>
    <xf numFmtId="175" fontId="0" fillId="0" borderId="0" xfId="0" applyNumberFormat="1" applyProtection="1"/>
    <xf numFmtId="166" fontId="0" fillId="0" borderId="0" xfId="1" applyNumberFormat="1" applyFont="1" applyAlignment="1" applyProtection="1"/>
    <xf numFmtId="166" fontId="20" fillId="0" borderId="0" xfId="1" applyNumberFormat="1" applyFont="1" applyAlignment="1" applyProtection="1">
      <alignment horizontal="center"/>
    </xf>
    <xf numFmtId="166" fontId="6" fillId="0" borderId="20" xfId="1" applyNumberFormat="1" applyFont="1" applyBorder="1" applyAlignment="1" applyProtection="1">
      <alignment horizontal="center"/>
    </xf>
    <xf numFmtId="166" fontId="0" fillId="0" borderId="20" xfId="1" applyNumberFormat="1" applyFont="1" applyBorder="1" applyAlignment="1" applyProtection="1">
      <alignment horizontal="center"/>
    </xf>
    <xf numFmtId="166" fontId="6" fillId="0" borderId="0" xfId="1" applyNumberFormat="1" applyFont="1" applyBorder="1" applyAlignment="1" applyProtection="1">
      <alignment horizontal="center"/>
    </xf>
    <xf numFmtId="166" fontId="0" fillId="0" borderId="0" xfId="1" applyNumberFormat="1" applyFont="1" applyBorder="1" applyAlignment="1" applyProtection="1">
      <alignment horizontal="center"/>
    </xf>
    <xf numFmtId="166" fontId="2" fillId="3" borderId="2" xfId="1" applyNumberFormat="1" applyFont="1" applyFill="1" applyBorder="1" applyProtection="1"/>
    <xf numFmtId="166" fontId="2" fillId="0" borderId="0" xfId="1" applyNumberFormat="1" applyFont="1" applyFill="1" applyBorder="1" applyProtection="1"/>
    <xf numFmtId="166" fontId="4" fillId="7" borderId="0" xfId="1" applyNumberFormat="1" applyFont="1" applyFill="1" applyProtection="1"/>
    <xf numFmtId="166" fontId="0" fillId="7" borderId="0" xfId="1" applyNumberFormat="1" applyFont="1" applyFill="1" applyProtection="1"/>
    <xf numFmtId="166" fontId="4" fillId="0" borderId="0" xfId="1" applyNumberFormat="1" applyFont="1" applyFill="1" applyAlignment="1" applyProtection="1">
      <alignment horizontal="right"/>
    </xf>
    <xf numFmtId="166" fontId="4" fillId="0" borderId="0" xfId="1" applyNumberFormat="1" applyFont="1" applyBorder="1" applyProtection="1"/>
    <xf numFmtId="166" fontId="2" fillId="0" borderId="3" xfId="1" applyNumberFormat="1" applyFont="1" applyFill="1" applyBorder="1" applyProtection="1"/>
    <xf numFmtId="166" fontId="20" fillId="0" borderId="0" xfId="1" applyNumberFormat="1" applyFont="1" applyFill="1" applyAlignment="1" applyProtection="1">
      <alignment horizontal="center"/>
    </xf>
    <xf numFmtId="166" fontId="2" fillId="0" borderId="0" xfId="1" applyNumberFormat="1" applyFont="1" applyFill="1" applyAlignment="1" applyProtection="1">
      <alignment horizontal="center"/>
    </xf>
    <xf numFmtId="166" fontId="21" fillId="0" borderId="0" xfId="1" applyNumberFormat="1" applyFont="1" applyFill="1" applyBorder="1" applyProtection="1"/>
    <xf numFmtId="166" fontId="21" fillId="0" borderId="0" xfId="1" applyNumberFormat="1" applyFont="1" applyFill="1" applyProtection="1"/>
    <xf numFmtId="166" fontId="21" fillId="0" borderId="0" xfId="1" applyNumberFormat="1" applyFont="1" applyBorder="1" applyProtection="1"/>
    <xf numFmtId="166" fontId="21" fillId="0" borderId="0" xfId="1" applyNumberFormat="1" applyFont="1" applyProtection="1"/>
    <xf numFmtId="166" fontId="4" fillId="10" borderId="0" xfId="1" applyNumberFormat="1" applyFont="1" applyFill="1" applyBorder="1" applyProtection="1"/>
    <xf numFmtId="166" fontId="0" fillId="10" borderId="0" xfId="1" applyNumberFormat="1" applyFont="1" applyFill="1" applyProtection="1"/>
    <xf numFmtId="166" fontId="20" fillId="7" borderId="0" xfId="1" applyNumberFormat="1" applyFont="1" applyFill="1" applyAlignment="1" applyProtection="1">
      <alignment horizontal="center"/>
    </xf>
    <xf numFmtId="166" fontId="0" fillId="0" borderId="0" xfId="1" applyNumberFormat="1" applyFont="1" applyBorder="1" applyProtection="1"/>
    <xf numFmtId="166" fontId="4" fillId="9" borderId="0" xfId="1" applyNumberFormat="1" applyFont="1" applyFill="1" applyBorder="1" applyProtection="1"/>
    <xf numFmtId="166" fontId="0" fillId="9" borderId="0" xfId="1" applyNumberFormat="1" applyFont="1" applyFill="1" applyProtection="1"/>
    <xf numFmtId="166" fontId="2" fillId="0" borderId="0" xfId="1" applyNumberFormat="1" applyFont="1" applyBorder="1" applyProtection="1"/>
    <xf numFmtId="166" fontId="2" fillId="2" borderId="3" xfId="1" applyNumberFormat="1" applyFont="1" applyFill="1" applyBorder="1" applyProtection="1"/>
    <xf numFmtId="166" fontId="2" fillId="0" borderId="3" xfId="1" applyNumberFormat="1" applyFont="1" applyBorder="1" applyProtection="1"/>
    <xf numFmtId="166" fontId="2" fillId="4" borderId="3" xfId="1" applyNumberFormat="1" applyFont="1" applyFill="1" applyBorder="1" applyProtection="1"/>
    <xf numFmtId="166" fontId="0" fillId="0" borderId="0" xfId="1" applyNumberFormat="1" applyFont="1"/>
    <xf numFmtId="10" fontId="2" fillId="0" borderId="1" xfId="7" applyNumberFormat="1" applyFont="1" applyFill="1" applyBorder="1" applyProtection="1"/>
    <xf numFmtId="4" fontId="1" fillId="6" borderId="1" xfId="0" applyNumberFormat="1" applyFont="1" applyFill="1" applyBorder="1" applyAlignment="1" applyProtection="1">
      <alignment wrapText="1"/>
      <protection locked="0"/>
    </xf>
    <xf numFmtId="4" fontId="1" fillId="6" borderId="1" xfId="0" applyNumberFormat="1" applyFont="1" applyFill="1" applyBorder="1" applyAlignment="1" applyProtection="1">
      <alignment wrapText="1"/>
    </xf>
    <xf numFmtId="4" fontId="1" fillId="6" borderId="1" xfId="2" applyNumberFormat="1" applyFont="1" applyFill="1" applyBorder="1" applyProtection="1">
      <protection locked="0"/>
    </xf>
    <xf numFmtId="4" fontId="1" fillId="0" borderId="0" xfId="0" applyNumberFormat="1" applyFont="1" applyAlignment="1" applyProtection="1">
      <alignment wrapText="1"/>
    </xf>
    <xf numFmtId="3" fontId="1" fillId="6" borderId="1" xfId="2" applyNumberFormat="1" applyFont="1" applyFill="1" applyBorder="1" applyProtection="1">
      <protection locked="0"/>
    </xf>
    <xf numFmtId="3" fontId="1" fillId="6" borderId="1" xfId="2" applyNumberFormat="1" applyFont="1" applyFill="1" applyBorder="1" applyAlignment="1" applyProtection="1">
      <alignment horizontal="right"/>
      <protection locked="0"/>
    </xf>
    <xf numFmtId="171" fontId="0" fillId="0" borderId="0" xfId="8" applyNumberFormat="1" applyFont="1" applyProtection="1"/>
    <xf numFmtId="4" fontId="1" fillId="6" borderId="1" xfId="2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Protection="1"/>
    <xf numFmtId="4" fontId="1" fillId="0" borderId="0" xfId="0" applyNumberFormat="1" applyFont="1" applyFill="1" applyAlignment="1" applyProtection="1">
      <alignment horizontal="left" wrapText="1"/>
    </xf>
    <xf numFmtId="4" fontId="1" fillId="0" borderId="0" xfId="0" applyNumberFormat="1" applyFont="1" applyFill="1" applyProtection="1"/>
    <xf numFmtId="0" fontId="26" fillId="0" borderId="0" xfId="0" applyFont="1"/>
    <xf numFmtId="4" fontId="1" fillId="0" borderId="0" xfId="1" applyNumberFormat="1" applyFont="1" applyProtection="1"/>
    <xf numFmtId="4" fontId="1" fillId="0" borderId="0" xfId="6" applyNumberFormat="1" applyFont="1" applyFill="1" applyAlignment="1" applyProtection="1">
      <alignment horizontal="left" wrapText="1"/>
    </xf>
    <xf numFmtId="0" fontId="1" fillId="0" borderId="0" xfId="0" applyFont="1"/>
    <xf numFmtId="4" fontId="0" fillId="0" borderId="0" xfId="0" applyNumberFormat="1" applyFill="1" applyAlignment="1" applyProtection="1"/>
    <xf numFmtId="4" fontId="1" fillId="6" borderId="1" xfId="3" applyNumberFormat="1" applyFont="1" applyFill="1" applyBorder="1" applyProtection="1">
      <protection locked="0"/>
    </xf>
    <xf numFmtId="4" fontId="1" fillId="0" borderId="0" xfId="6" applyNumberFormat="1" applyFont="1" applyAlignment="1" applyProtection="1">
      <alignment wrapText="1"/>
    </xf>
    <xf numFmtId="172" fontId="1" fillId="13" borderId="1" xfId="0" applyNumberFormat="1" applyFont="1" applyFill="1" applyBorder="1" applyAlignment="1" applyProtection="1">
      <protection locked="0"/>
    </xf>
    <xf numFmtId="4" fontId="1" fillId="6" borderId="1" xfId="0" applyNumberFormat="1" applyFont="1" applyFill="1" applyBorder="1" applyProtection="1">
      <protection locked="0"/>
    </xf>
    <xf numFmtId="3" fontId="0" fillId="0" borderId="0" xfId="0" applyNumberFormat="1"/>
    <xf numFmtId="4" fontId="1" fillId="6" borderId="1" xfId="1" applyNumberFormat="1" applyFont="1" applyFill="1" applyBorder="1" applyProtection="1">
      <protection locked="0"/>
    </xf>
    <xf numFmtId="10" fontId="1" fillId="0" borderId="0" xfId="0" applyNumberFormat="1" applyFont="1" applyFill="1" applyBorder="1" applyAlignment="1" applyProtection="1">
      <alignment horizontal="right"/>
    </xf>
    <xf numFmtId="0" fontId="12" fillId="6" borderId="36" xfId="0" applyFont="1" applyFill="1" applyBorder="1" applyAlignment="1" applyProtection="1">
      <alignment horizontal="center" vertical="center"/>
      <protection locked="0"/>
    </xf>
    <xf numFmtId="9" fontId="18" fillId="0" borderId="37" xfId="0" applyNumberFormat="1" applyFont="1" applyBorder="1" applyProtection="1"/>
    <xf numFmtId="9" fontId="18" fillId="0" borderId="4" xfId="0" applyNumberFormat="1" applyFont="1" applyBorder="1" applyProtection="1"/>
    <xf numFmtId="9" fontId="18" fillId="0" borderId="38" xfId="0" applyNumberFormat="1" applyFont="1" applyBorder="1" applyProtection="1"/>
    <xf numFmtId="9" fontId="18" fillId="0" borderId="36" xfId="0" applyNumberFormat="1" applyFont="1" applyBorder="1" applyProtection="1"/>
    <xf numFmtId="9" fontId="0" fillId="0" borderId="0" xfId="0" applyNumberFormat="1" applyProtection="1">
      <protection locked="0"/>
    </xf>
    <xf numFmtId="3" fontId="2" fillId="0" borderId="0" xfId="1" applyNumberFormat="1" applyFont="1" applyAlignment="1" applyProtection="1">
      <alignment horizontal="center"/>
    </xf>
    <xf numFmtId="3" fontId="0" fillId="0" borderId="0" xfId="0" applyNumberFormat="1" applyAlignment="1" applyProtection="1"/>
    <xf numFmtId="0" fontId="0" fillId="0" borderId="0" xfId="0" applyAlignment="1" applyProtection="1"/>
    <xf numFmtId="4" fontId="2" fillId="0" borderId="26" xfId="0" applyNumberFormat="1" applyFont="1" applyBorder="1" applyAlignment="1" applyProtection="1">
      <alignment horizontal="center" wrapText="1"/>
    </xf>
    <xf numFmtId="0" fontId="2" fillId="0" borderId="27" xfId="0" applyFont="1" applyBorder="1" applyAlignment="1" applyProtection="1">
      <alignment horizontal="center" wrapText="1"/>
    </xf>
    <xf numFmtId="0" fontId="2" fillId="0" borderId="28" xfId="0" applyFont="1" applyBorder="1" applyAlignment="1" applyProtection="1">
      <alignment horizontal="center" wrapText="1"/>
    </xf>
    <xf numFmtId="3" fontId="5" fillId="0" borderId="0" xfId="1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3" fillId="7" borderId="29" xfId="0" applyFont="1" applyFill="1" applyBorder="1" applyAlignment="1" applyProtection="1">
      <alignment horizontal="center" vertical="center" wrapText="1"/>
      <protection locked="0"/>
    </xf>
    <xf numFmtId="0" fontId="13" fillId="7" borderId="30" xfId="0" applyFont="1" applyFill="1" applyBorder="1" applyAlignment="1" applyProtection="1">
      <alignment horizontal="center" vertical="center" wrapText="1"/>
      <protection locked="0"/>
    </xf>
    <xf numFmtId="0" fontId="13" fillId="7" borderId="39" xfId="0" applyFont="1" applyFill="1" applyBorder="1" applyAlignment="1" applyProtection="1">
      <alignment horizontal="center" vertical="center" wrapText="1"/>
      <protection locked="0"/>
    </xf>
    <xf numFmtId="0" fontId="13" fillId="7" borderId="31" xfId="0" applyFont="1" applyFill="1" applyBorder="1" applyAlignment="1" applyProtection="1">
      <alignment horizontal="center" vertical="center" wrapText="1"/>
      <protection locked="0"/>
    </xf>
    <xf numFmtId="0" fontId="13" fillId="7" borderId="32" xfId="0" applyFont="1" applyFill="1" applyBorder="1" applyAlignment="1" applyProtection="1">
      <alignment horizontal="center" vertical="center" wrapText="1"/>
      <protection locked="0"/>
    </xf>
    <xf numFmtId="0" fontId="13" fillId="7" borderId="33" xfId="0" applyFont="1" applyFill="1" applyBorder="1" applyAlignment="1" applyProtection="1">
      <alignment horizontal="center" vertical="center" wrapText="1"/>
      <protection locked="0"/>
    </xf>
    <xf numFmtId="0" fontId="13" fillId="7" borderId="35" xfId="0" applyFont="1" applyFill="1" applyBorder="1" applyAlignment="1" applyProtection="1">
      <alignment horizontal="center" vertical="center" wrapText="1"/>
      <protection locked="0"/>
    </xf>
    <xf numFmtId="0" fontId="13" fillId="7" borderId="34" xfId="0" applyFont="1" applyFill="1" applyBorder="1" applyAlignment="1" applyProtection="1">
      <alignment horizontal="center" vertical="center" wrapText="1"/>
      <protection locked="0"/>
    </xf>
    <xf numFmtId="3" fontId="2" fillId="0" borderId="0" xfId="2" applyNumberFormat="1" applyFont="1" applyAlignment="1" applyProtection="1">
      <alignment horizontal="center"/>
    </xf>
    <xf numFmtId="3" fontId="5" fillId="0" borderId="0" xfId="2" applyNumberFormat="1" applyFont="1" applyAlignment="1" applyProtection="1">
      <alignment horizontal="center"/>
    </xf>
    <xf numFmtId="3" fontId="1" fillId="0" borderId="0" xfId="1" applyNumberFormat="1" applyFont="1" applyAlignment="1" applyProtection="1">
      <alignment horizontal="left" wrapText="1"/>
    </xf>
    <xf numFmtId="3" fontId="4" fillId="0" borderId="0" xfId="2" applyNumberFormat="1" applyFont="1" applyAlignment="1" applyProtection="1">
      <alignment horizontal="left" wrapText="1"/>
    </xf>
    <xf numFmtId="3" fontId="2" fillId="0" borderId="0" xfId="3" applyNumberFormat="1" applyFont="1" applyAlignment="1" applyProtection="1">
      <alignment horizontal="center"/>
    </xf>
    <xf numFmtId="3" fontId="4" fillId="0" borderId="0" xfId="6" applyNumberFormat="1" applyAlignment="1" applyProtection="1"/>
    <xf numFmtId="0" fontId="4" fillId="0" borderId="0" xfId="6" applyAlignment="1" applyProtection="1"/>
    <xf numFmtId="4" fontId="2" fillId="0" borderId="26" xfId="6" applyNumberFormat="1" applyFont="1" applyBorder="1" applyAlignment="1" applyProtection="1">
      <alignment horizontal="center" wrapText="1"/>
    </xf>
    <xf numFmtId="0" fontId="2" fillId="0" borderId="27" xfId="6" applyFont="1" applyBorder="1" applyAlignment="1" applyProtection="1">
      <alignment horizontal="center" wrapText="1"/>
    </xf>
    <xf numFmtId="0" fontId="2" fillId="0" borderId="28" xfId="6" applyFont="1" applyBorder="1" applyAlignment="1" applyProtection="1">
      <alignment horizontal="center" wrapText="1"/>
    </xf>
    <xf numFmtId="3" fontId="5" fillId="0" borderId="0" xfId="3" applyNumberFormat="1" applyFont="1" applyAlignment="1" applyProtection="1">
      <alignment horizontal="center"/>
    </xf>
    <xf numFmtId="0" fontId="5" fillId="0" borderId="0" xfId="6" applyFont="1" applyAlignment="1" applyProtection="1">
      <alignment horizontal="center"/>
    </xf>
    <xf numFmtId="166" fontId="5" fillId="0" borderId="0" xfId="1" applyNumberFormat="1" applyFont="1" applyAlignment="1" applyProtection="1">
      <alignment horizontal="center"/>
    </xf>
  </cellXfs>
  <cellStyles count="9">
    <cellStyle name="Comma" xfId="1" builtinId="3"/>
    <cellStyle name="Comma 2" xfId="2"/>
    <cellStyle name="Comma 3" xfId="3"/>
    <cellStyle name="Comma0" xfId="4"/>
    <cellStyle name="Currency" xfId="8" builtinId="4"/>
    <cellStyle name="Currency 2" xfId="5"/>
    <cellStyle name="Normal" xfId="0" builtinId="0"/>
    <cellStyle name="Normal 2" xfId="6"/>
    <cellStyle name="Percent" xfId="7" builtinId="5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3"/>
        </patternFill>
      </fill>
      <border>
        <bottom style="thin">
          <color indexed="9"/>
        </bottom>
      </border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Simon\Downloads\2.1_Ausland\2_Programmes_Projects\5_Humanitarian%2520Aid%2520Standby_Countries\Syria_Refugee_Crisis\660.322%2520Lebanon%2520Shatila%2520Cash%25202014\1_Prodoc\Prodoc%2520SwS\Annex%25201_Budget%2520Shatila%2520660.3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lwf\Documents\Zoho%2520Docs\Emergency%2520Hub\ACT%2520JSL%2520forum\Appeal%2520working%2520group\Final%2520Documents%2520for%2520compiling\DSPR%2520FInal\DSPR%2520Lebenon\Revised%2520-rev-Appeals-ACT%25202019%2520xls%2520DSPR%2520-Leban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lwf\Documents\Zoho%2520Docs\Emergency%2520Hub\ACT%2520JSL%2520forum\Appeal%2520working%2520group\Final%2520Documents%2520for%2520compiling\HEKS\HEKS.ACT_Appeals_budget_Annex-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"/>
      <sheetName val="Annex%201_Budget%20Shatila%2066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Summary"/>
      <sheetName val="Member 1"/>
      <sheetName val="Member 2"/>
      <sheetName val="Member 3"/>
      <sheetName val="Member 4"/>
      <sheetName val="Member 5"/>
    </sheetNames>
    <sheetDataSet>
      <sheetData sheetId="0">
        <row r="4">
          <cell r="C4">
            <v>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Summary"/>
      <sheetName val="Member 1"/>
      <sheetName val="Member 2"/>
      <sheetName val="Member 3"/>
      <sheetName val="Member 4"/>
      <sheetName val="Member 5"/>
    </sheetNames>
    <sheetDataSet>
      <sheetData sheetId="0">
        <row r="4">
          <cell r="C4">
            <v>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18"/>
  <sheetViews>
    <sheetView tabSelected="1" view="pageBreakPreview" zoomScaleNormal="100" zoomScaleSheetLayoutView="100" workbookViewId="0">
      <pane ySplit="14" topLeftCell="A190" activePane="bottomLeft" state="frozen"/>
      <selection pane="bottomLeft" activeCell="AB196" sqref="AB196"/>
    </sheetView>
  </sheetViews>
  <sheetFormatPr defaultColWidth="9.109375" defaultRowHeight="13.2" x14ac:dyDescent="0.25"/>
  <cols>
    <col min="1" max="1" width="6.33203125" style="74" customWidth="1"/>
    <col min="2" max="2" width="37.44140625" style="35" customWidth="1"/>
    <col min="3" max="3" width="11.33203125" style="75" customWidth="1"/>
    <col min="4" max="4" width="10.44140625" style="76" customWidth="1"/>
    <col min="5" max="7" width="10.44140625" style="76" hidden="1" customWidth="1"/>
    <col min="8" max="8" width="12.109375" style="77" hidden="1" customWidth="1"/>
    <col min="9" max="9" width="12.88671875" style="77" hidden="1" customWidth="1"/>
    <col min="10" max="10" width="18.33203125" style="35" customWidth="1"/>
    <col min="11" max="20" width="10.109375" style="35" hidden="1" customWidth="1"/>
    <col min="21" max="23" width="12.5546875" style="35" hidden="1" customWidth="1"/>
    <col min="24" max="25" width="10.109375" style="35" hidden="1" customWidth="1"/>
    <col min="26" max="27" width="9.109375" style="35" hidden="1" customWidth="1"/>
    <col min="28" max="28" width="18.33203125" style="35" customWidth="1"/>
    <col min="29" max="29" width="17.88671875" style="35" bestFit="1" customWidth="1"/>
    <col min="30" max="16384" width="9.109375" style="35"/>
  </cols>
  <sheetData>
    <row r="1" spans="1:30" x14ac:dyDescent="0.25">
      <c r="A1" s="844" t="s">
        <v>66</v>
      </c>
      <c r="B1" s="845"/>
      <c r="C1" s="845"/>
      <c r="D1" s="845"/>
      <c r="E1" s="845"/>
      <c r="F1" s="845"/>
      <c r="G1" s="845"/>
      <c r="H1" s="845"/>
      <c r="I1" s="845"/>
      <c r="J1" s="846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30" x14ac:dyDescent="0.25">
      <c r="A2" s="71"/>
      <c r="B2" s="72"/>
      <c r="C2" s="72"/>
      <c r="D2" s="72"/>
      <c r="E2" s="72"/>
      <c r="F2" s="72"/>
      <c r="G2" s="72"/>
      <c r="H2" s="72"/>
      <c r="I2" s="72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30" x14ac:dyDescent="0.25">
      <c r="A3" s="74" t="s">
        <v>10</v>
      </c>
      <c r="I3" s="78"/>
    </row>
    <row r="4" spans="1:30" x14ac:dyDescent="0.25">
      <c r="B4" s="79" t="s">
        <v>25</v>
      </c>
      <c r="C4" s="9">
        <v>1</v>
      </c>
      <c r="I4" s="78"/>
      <c r="AB4" s="81"/>
    </row>
    <row r="5" spans="1:30" x14ac:dyDescent="0.25">
      <c r="B5" s="82" t="s">
        <v>172</v>
      </c>
      <c r="I5" s="78"/>
    </row>
    <row r="6" spans="1:30" x14ac:dyDescent="0.25">
      <c r="B6" s="83"/>
    </row>
    <row r="7" spans="1:30" x14ac:dyDescent="0.25">
      <c r="A7" s="74" t="s">
        <v>23</v>
      </c>
    </row>
    <row r="8" spans="1:30" x14ac:dyDescent="0.25">
      <c r="A8" s="74" t="s">
        <v>67</v>
      </c>
      <c r="C8" s="84" t="s">
        <v>29</v>
      </c>
    </row>
    <row r="9" spans="1:30" ht="13.8" x14ac:dyDescent="0.25">
      <c r="A9" s="74" t="s">
        <v>68</v>
      </c>
      <c r="C9" s="826" t="s">
        <v>925</v>
      </c>
    </row>
    <row r="10" spans="1:30" x14ac:dyDescent="0.25">
      <c r="A10" s="74" t="s">
        <v>56</v>
      </c>
      <c r="C10" s="827" t="s">
        <v>926</v>
      </c>
    </row>
    <row r="11" spans="1:30" hidden="1" x14ac:dyDescent="0.25">
      <c r="B11" s="74"/>
      <c r="C11" s="85"/>
      <c r="D11" s="86"/>
      <c r="E11" s="86"/>
      <c r="F11" s="86"/>
      <c r="G11" s="86"/>
      <c r="H11" s="71"/>
      <c r="I11" s="87" t="s">
        <v>69</v>
      </c>
      <c r="J11" s="87" t="s">
        <v>69</v>
      </c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 t="s">
        <v>302</v>
      </c>
      <c r="V11" s="87" t="s">
        <v>303</v>
      </c>
      <c r="W11" s="87" t="s">
        <v>303</v>
      </c>
      <c r="X11" s="87" t="s">
        <v>302</v>
      </c>
      <c r="Y11" s="87" t="s">
        <v>303</v>
      </c>
      <c r="Z11" s="91" t="s">
        <v>303</v>
      </c>
      <c r="AA11" s="91" t="s">
        <v>305</v>
      </c>
      <c r="AC11" s="88"/>
      <c r="AD11" s="88"/>
    </row>
    <row r="12" spans="1:30" ht="13.8" hidden="1" thickBot="1" x14ac:dyDescent="0.3">
      <c r="B12" s="74"/>
      <c r="C12" s="85"/>
      <c r="D12" s="86"/>
      <c r="E12" s="86"/>
      <c r="F12" s="86"/>
      <c r="G12" s="86"/>
      <c r="H12" s="71"/>
      <c r="I12" s="87" t="s">
        <v>5</v>
      </c>
      <c r="J12" s="87" t="s">
        <v>5</v>
      </c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90"/>
      <c r="V12" s="87"/>
      <c r="W12" s="87"/>
      <c r="X12" s="87"/>
      <c r="Y12" s="87"/>
      <c r="Z12" s="88"/>
      <c r="AA12" s="88"/>
      <c r="AB12" s="88"/>
      <c r="AC12" s="88"/>
      <c r="AD12" s="88"/>
    </row>
    <row r="13" spans="1:30" ht="13.8" hidden="1" thickBot="1" x14ac:dyDescent="0.3">
      <c r="A13" s="89" t="s">
        <v>47</v>
      </c>
      <c r="C13" s="85"/>
      <c r="D13" s="86"/>
      <c r="E13" s="86"/>
      <c r="F13" s="86"/>
      <c r="G13" s="86"/>
      <c r="H13" s="90"/>
      <c r="I13" s="90" t="s">
        <v>20</v>
      </c>
      <c r="J13" s="91" t="s">
        <v>4</v>
      </c>
      <c r="K13" s="847" t="s">
        <v>185</v>
      </c>
      <c r="L13" s="848"/>
      <c r="M13" s="848"/>
      <c r="N13" s="848"/>
      <c r="O13" s="848"/>
      <c r="P13" s="848"/>
      <c r="Q13" s="848"/>
      <c r="R13" s="848"/>
      <c r="S13" s="848"/>
      <c r="T13" s="849"/>
      <c r="U13" s="90" t="s">
        <v>20</v>
      </c>
      <c r="V13" s="90" t="s">
        <v>20</v>
      </c>
      <c r="W13" s="219" t="s">
        <v>304</v>
      </c>
      <c r="X13" s="219" t="s">
        <v>4</v>
      </c>
      <c r="Y13" s="219" t="s">
        <v>4</v>
      </c>
      <c r="Z13" s="91" t="s">
        <v>304</v>
      </c>
      <c r="AA13" s="91"/>
      <c r="AB13" s="88"/>
      <c r="AC13" s="88"/>
      <c r="AD13" s="88"/>
    </row>
    <row r="14" spans="1:30" s="93" customFormat="1" ht="13.8" hidden="1" thickBot="1" x14ac:dyDescent="0.3">
      <c r="A14" s="92"/>
      <c r="C14" s="94"/>
      <c r="D14" s="95"/>
      <c r="E14" s="95"/>
      <c r="F14" s="95"/>
      <c r="G14" s="95"/>
      <c r="H14" s="96"/>
      <c r="I14" s="96"/>
      <c r="J14" s="97"/>
      <c r="K14" s="128" t="s">
        <v>175</v>
      </c>
      <c r="L14" s="128" t="s">
        <v>176</v>
      </c>
      <c r="M14" s="128" t="s">
        <v>177</v>
      </c>
      <c r="N14" s="128" t="s">
        <v>178</v>
      </c>
      <c r="O14" s="128" t="s">
        <v>179</v>
      </c>
      <c r="P14" s="128" t="s">
        <v>180</v>
      </c>
      <c r="Q14" s="128" t="s">
        <v>181</v>
      </c>
      <c r="R14" s="128" t="s">
        <v>182</v>
      </c>
      <c r="S14" s="128" t="s">
        <v>183</v>
      </c>
      <c r="T14" s="128" t="s">
        <v>184</v>
      </c>
      <c r="U14" s="87"/>
      <c r="V14" s="87"/>
      <c r="W14" s="87"/>
      <c r="X14" s="87"/>
      <c r="Y14" s="87"/>
      <c r="Z14" s="97"/>
      <c r="AA14" s="97"/>
      <c r="AB14" s="97"/>
      <c r="AC14" s="97"/>
      <c r="AD14" s="97"/>
    </row>
    <row r="15" spans="1:30" s="1" customFormat="1" hidden="1" x14ac:dyDescent="0.25">
      <c r="A15" s="98"/>
      <c r="C15" s="99"/>
      <c r="D15" s="100"/>
      <c r="E15" s="100"/>
      <c r="F15" s="100"/>
      <c r="G15" s="100"/>
      <c r="H15" s="101"/>
      <c r="I15" s="101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</row>
    <row r="16" spans="1:30" s="107" customFormat="1" hidden="1" x14ac:dyDescent="0.25">
      <c r="A16" s="103" t="s">
        <v>21</v>
      </c>
      <c r="B16" s="39"/>
      <c r="C16" s="104"/>
      <c r="D16" s="105"/>
      <c r="E16" s="105"/>
      <c r="F16" s="105"/>
      <c r="G16" s="105"/>
      <c r="H16" s="106"/>
      <c r="I16" s="3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</row>
    <row r="17" spans="1:29" s="107" customFormat="1" hidden="1" x14ac:dyDescent="0.25">
      <c r="A17" s="103" t="s">
        <v>32</v>
      </c>
      <c r="B17" s="108" t="s">
        <v>33</v>
      </c>
      <c r="C17" s="103" t="s">
        <v>174</v>
      </c>
      <c r="D17" s="103" t="s">
        <v>65</v>
      </c>
      <c r="E17" s="103"/>
      <c r="F17" s="103"/>
      <c r="G17" s="103"/>
      <c r="H17" s="106"/>
      <c r="I17" s="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39"/>
      <c r="AA17" s="39"/>
      <c r="AB17" s="39"/>
      <c r="AC17" s="39"/>
    </row>
    <row r="18" spans="1:29" s="107" customFormat="1" hidden="1" x14ac:dyDescent="0.25">
      <c r="A18" s="13"/>
      <c r="B18" s="46"/>
      <c r="C18" s="2" t="s">
        <v>175</v>
      </c>
      <c r="D18" s="14"/>
      <c r="E18" s="48"/>
      <c r="F18" s="48"/>
      <c r="G18" s="48"/>
      <c r="H18" s="10"/>
      <c r="I18" s="15">
        <v>0</v>
      </c>
      <c r="J18" s="2">
        <f>I18*C4</f>
        <v>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39"/>
      <c r="AA18" s="39"/>
      <c r="AB18" s="39"/>
      <c r="AC18" s="39"/>
    </row>
    <row r="19" spans="1:29" s="107" customFormat="1" hidden="1" x14ac:dyDescent="0.25">
      <c r="A19" s="13"/>
      <c r="B19" s="46"/>
      <c r="C19" s="2" t="s">
        <v>176</v>
      </c>
      <c r="D19" s="14"/>
      <c r="E19" s="48"/>
      <c r="F19" s="48"/>
      <c r="G19" s="48"/>
      <c r="H19" s="10"/>
      <c r="I19" s="15">
        <v>0</v>
      </c>
      <c r="J19" s="2">
        <f>I19*C4</f>
        <v>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39"/>
      <c r="AA19" s="39"/>
      <c r="AB19" s="39"/>
      <c r="AC19" s="39"/>
    </row>
    <row r="20" spans="1:29" s="107" customFormat="1" hidden="1" x14ac:dyDescent="0.25">
      <c r="A20" s="13"/>
      <c r="B20" s="46"/>
      <c r="C20" s="2" t="s">
        <v>177</v>
      </c>
      <c r="D20" s="14"/>
      <c r="E20" s="48"/>
      <c r="F20" s="48"/>
      <c r="G20" s="48"/>
      <c r="H20" s="10"/>
      <c r="I20" s="15">
        <v>0</v>
      </c>
      <c r="J20" s="2">
        <f>I20*C4</f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9"/>
      <c r="AA20" s="39"/>
      <c r="AB20" s="39"/>
      <c r="AC20" s="39"/>
    </row>
    <row r="21" spans="1:29" s="107" customFormat="1" hidden="1" x14ac:dyDescent="0.25">
      <c r="A21" s="13"/>
      <c r="B21" s="46"/>
      <c r="C21" s="2" t="s">
        <v>178</v>
      </c>
      <c r="D21" s="14"/>
      <c r="E21" s="48"/>
      <c r="F21" s="48"/>
      <c r="G21" s="48"/>
      <c r="H21" s="10"/>
      <c r="I21" s="15">
        <v>0</v>
      </c>
      <c r="J21" s="2">
        <f>I21*C4</f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39"/>
      <c r="AA21" s="39"/>
      <c r="AB21" s="39"/>
      <c r="AC21" s="39"/>
    </row>
    <row r="22" spans="1:29" s="107" customFormat="1" hidden="1" x14ac:dyDescent="0.25">
      <c r="A22" s="13"/>
      <c r="B22" s="46"/>
      <c r="C22" s="2" t="s">
        <v>179</v>
      </c>
      <c r="D22" s="14"/>
      <c r="E22" s="48"/>
      <c r="F22" s="48"/>
      <c r="G22" s="48"/>
      <c r="H22" s="10"/>
      <c r="I22" s="15">
        <v>0</v>
      </c>
      <c r="J22" s="2">
        <f>I22*C4</f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39"/>
      <c r="AA22" s="39"/>
      <c r="AB22" s="39"/>
      <c r="AC22" s="39"/>
    </row>
    <row r="23" spans="1:29" s="107" customFormat="1" hidden="1" x14ac:dyDescent="0.25">
      <c r="A23" s="13"/>
      <c r="B23" s="46"/>
      <c r="C23" s="2" t="s">
        <v>180</v>
      </c>
      <c r="D23" s="14"/>
      <c r="E23" s="48"/>
      <c r="F23" s="48"/>
      <c r="G23" s="48"/>
      <c r="H23" s="10"/>
      <c r="I23" s="15">
        <v>0</v>
      </c>
      <c r="J23" s="2">
        <f>I23*C4</f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39"/>
      <c r="AA23" s="39"/>
      <c r="AB23" s="39"/>
      <c r="AC23" s="39"/>
    </row>
    <row r="24" spans="1:29" s="107" customFormat="1" hidden="1" x14ac:dyDescent="0.25">
      <c r="A24" s="13"/>
      <c r="B24" s="46"/>
      <c r="C24" s="2" t="s">
        <v>181</v>
      </c>
      <c r="D24" s="14"/>
      <c r="E24" s="48"/>
      <c r="F24" s="48"/>
      <c r="G24" s="48"/>
      <c r="H24" s="10"/>
      <c r="I24" s="15">
        <v>0</v>
      </c>
      <c r="J24" s="2">
        <f>I24*C4</f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39"/>
      <c r="AA24" s="39"/>
      <c r="AB24" s="39"/>
      <c r="AC24" s="39"/>
    </row>
    <row r="25" spans="1:29" s="107" customFormat="1" hidden="1" x14ac:dyDescent="0.25">
      <c r="A25" s="13"/>
      <c r="B25" s="46"/>
      <c r="C25" s="2" t="s">
        <v>182</v>
      </c>
      <c r="D25" s="14"/>
      <c r="E25" s="48"/>
      <c r="F25" s="48"/>
      <c r="G25" s="48"/>
      <c r="H25" s="10"/>
      <c r="I25" s="15">
        <v>0</v>
      </c>
      <c r="J25" s="2">
        <f>I25*C4</f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39"/>
      <c r="AA25" s="39"/>
      <c r="AB25" s="39"/>
      <c r="AC25" s="39"/>
    </row>
    <row r="26" spans="1:29" s="107" customFormat="1" hidden="1" x14ac:dyDescent="0.25">
      <c r="A26" s="13"/>
      <c r="B26" s="46"/>
      <c r="C26" s="2" t="s">
        <v>183</v>
      </c>
      <c r="D26" s="14"/>
      <c r="E26" s="48"/>
      <c r="F26" s="48"/>
      <c r="G26" s="48"/>
      <c r="H26" s="10"/>
      <c r="I26" s="15">
        <v>0</v>
      </c>
      <c r="J26" s="2">
        <f>I26*C4</f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39"/>
      <c r="AA26" s="39"/>
      <c r="AB26" s="39"/>
      <c r="AC26" s="39"/>
    </row>
    <row r="27" spans="1:29" s="107" customFormat="1" hidden="1" x14ac:dyDescent="0.25">
      <c r="A27" s="13"/>
      <c r="B27" s="46"/>
      <c r="C27" s="2" t="s">
        <v>184</v>
      </c>
      <c r="D27" s="14"/>
      <c r="E27" s="48"/>
      <c r="F27" s="48"/>
      <c r="G27" s="48"/>
      <c r="H27" s="10"/>
      <c r="I27" s="15">
        <v>0</v>
      </c>
      <c r="J27" s="2">
        <f>I27*C4</f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39"/>
      <c r="AA27" s="39"/>
      <c r="AB27" s="39"/>
      <c r="AC27" s="39"/>
    </row>
    <row r="28" spans="1:29" s="107" customFormat="1" hidden="1" x14ac:dyDescent="0.25">
      <c r="A28" s="103"/>
      <c r="B28" s="108" t="s">
        <v>173</v>
      </c>
      <c r="C28" s="104"/>
      <c r="D28" s="105"/>
      <c r="E28" s="105"/>
      <c r="F28" s="105"/>
      <c r="G28" s="105"/>
      <c r="H28" s="106"/>
      <c r="I28" s="2">
        <f>SUM(I18:I27)</f>
        <v>0</v>
      </c>
      <c r="J28" s="2">
        <f>SUM(J18:J27)</f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39"/>
      <c r="AA28" s="39"/>
      <c r="AB28" s="39"/>
      <c r="AC28" s="39"/>
    </row>
    <row r="29" spans="1:29" s="107" customFormat="1" hidden="1" x14ac:dyDescent="0.25">
      <c r="A29" s="103"/>
      <c r="B29" s="113"/>
      <c r="C29" s="104"/>
      <c r="D29" s="105"/>
      <c r="E29" s="105"/>
      <c r="F29" s="105"/>
      <c r="G29" s="105"/>
      <c r="H29" s="106"/>
      <c r="I29" s="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39"/>
      <c r="AA29" s="39"/>
      <c r="AB29" s="39"/>
      <c r="AC29" s="39"/>
    </row>
    <row r="30" spans="1:29" s="107" customFormat="1" hidden="1" x14ac:dyDescent="0.25">
      <c r="A30" s="103" t="s">
        <v>34</v>
      </c>
      <c r="B30" s="39"/>
      <c r="C30" s="104"/>
      <c r="D30" s="105"/>
      <c r="E30" s="105"/>
      <c r="F30" s="105"/>
      <c r="G30" s="105"/>
      <c r="H30" s="106"/>
      <c r="I30" s="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39"/>
      <c r="AA30" s="39"/>
      <c r="AB30" s="39"/>
      <c r="AC30" s="39"/>
    </row>
    <row r="31" spans="1:29" s="107" customFormat="1" hidden="1" x14ac:dyDescent="0.25">
      <c r="A31" s="103" t="s">
        <v>32</v>
      </c>
      <c r="B31" s="108" t="s">
        <v>33</v>
      </c>
      <c r="C31" s="104" t="s">
        <v>174</v>
      </c>
      <c r="D31" s="105"/>
      <c r="E31" s="105"/>
      <c r="F31" s="105"/>
      <c r="G31" s="105"/>
      <c r="H31" s="106"/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39"/>
      <c r="AA31" s="39"/>
      <c r="AB31" s="39"/>
      <c r="AC31" s="39"/>
    </row>
    <row r="32" spans="1:29" s="107" customFormat="1" hidden="1" x14ac:dyDescent="0.25">
      <c r="A32" s="16"/>
      <c r="B32" s="46"/>
      <c r="C32" s="17"/>
      <c r="D32" s="105"/>
      <c r="E32" s="105"/>
      <c r="F32" s="105"/>
      <c r="G32" s="105"/>
      <c r="H32" s="106"/>
      <c r="I32" s="15">
        <v>0</v>
      </c>
      <c r="J32" s="2">
        <f>(C4)*I32</f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39"/>
      <c r="AA32" s="39"/>
      <c r="AB32" s="39"/>
      <c r="AC32" s="39"/>
    </row>
    <row r="33" spans="1:29" s="107" customFormat="1" hidden="1" x14ac:dyDescent="0.25">
      <c r="A33" s="16"/>
      <c r="B33" s="46"/>
      <c r="C33" s="17"/>
      <c r="D33" s="105"/>
      <c r="E33" s="105"/>
      <c r="F33" s="105"/>
      <c r="G33" s="105"/>
      <c r="H33" s="106"/>
      <c r="I33" s="15">
        <v>0</v>
      </c>
      <c r="J33" s="2">
        <f>I33*C4</f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39"/>
      <c r="AA33" s="39"/>
      <c r="AB33" s="39"/>
      <c r="AC33" s="39"/>
    </row>
    <row r="34" spans="1:29" s="107" customFormat="1" hidden="1" x14ac:dyDescent="0.25">
      <c r="A34" s="16"/>
      <c r="B34" s="46"/>
      <c r="C34" s="17"/>
      <c r="D34" s="105"/>
      <c r="E34" s="105"/>
      <c r="F34" s="105"/>
      <c r="G34" s="105"/>
      <c r="H34" s="106"/>
      <c r="I34" s="15">
        <v>0</v>
      </c>
      <c r="J34" s="2">
        <f>I34*C4</f>
        <v>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39"/>
      <c r="AA34" s="39"/>
      <c r="AB34" s="39"/>
      <c r="AC34" s="39"/>
    </row>
    <row r="35" spans="1:29" s="107" customFormat="1" hidden="1" x14ac:dyDescent="0.25">
      <c r="A35" s="16"/>
      <c r="B35" s="46"/>
      <c r="C35" s="17"/>
      <c r="D35" s="105"/>
      <c r="E35" s="105"/>
      <c r="F35" s="105"/>
      <c r="G35" s="105"/>
      <c r="H35" s="106"/>
      <c r="I35" s="15">
        <v>0</v>
      </c>
      <c r="J35" s="2">
        <f>I35*C4</f>
        <v>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39"/>
      <c r="AA35" s="39"/>
      <c r="AB35" s="39"/>
      <c r="AC35" s="39"/>
    </row>
    <row r="36" spans="1:29" s="107" customFormat="1" hidden="1" x14ac:dyDescent="0.25">
      <c r="A36" s="16"/>
      <c r="B36" s="46"/>
      <c r="C36" s="17"/>
      <c r="D36" s="105"/>
      <c r="E36" s="105"/>
      <c r="F36" s="105"/>
      <c r="G36" s="105"/>
      <c r="H36" s="106"/>
      <c r="I36" s="15">
        <v>0</v>
      </c>
      <c r="J36" s="2">
        <f>I36*C4</f>
        <v>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39"/>
      <c r="AA36" s="39"/>
      <c r="AB36" s="39"/>
      <c r="AC36" s="39"/>
    </row>
    <row r="37" spans="1:29" s="107" customFormat="1" hidden="1" x14ac:dyDescent="0.25">
      <c r="A37" s="16"/>
      <c r="B37" s="46"/>
      <c r="C37" s="17"/>
      <c r="D37" s="105"/>
      <c r="E37" s="105"/>
      <c r="F37" s="105"/>
      <c r="G37" s="105"/>
      <c r="H37" s="106"/>
      <c r="I37" s="15">
        <v>0</v>
      </c>
      <c r="J37" s="2">
        <f>I37*C4</f>
        <v>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39"/>
      <c r="AA37" s="39"/>
      <c r="AB37" s="39"/>
      <c r="AC37" s="39"/>
    </row>
    <row r="38" spans="1:29" s="107" customFormat="1" hidden="1" x14ac:dyDescent="0.25">
      <c r="A38" s="16"/>
      <c r="B38" s="46"/>
      <c r="C38" s="17"/>
      <c r="D38" s="105"/>
      <c r="E38" s="105"/>
      <c r="F38" s="105"/>
      <c r="G38" s="105"/>
      <c r="H38" s="106"/>
      <c r="I38" s="15">
        <v>0</v>
      </c>
      <c r="J38" s="2">
        <f>I38*C4</f>
        <v>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39"/>
      <c r="AA38" s="39"/>
      <c r="AB38" s="39"/>
      <c r="AC38" s="39"/>
    </row>
    <row r="39" spans="1:29" s="107" customFormat="1" hidden="1" x14ac:dyDescent="0.25">
      <c r="A39" s="16"/>
      <c r="B39" s="46"/>
      <c r="C39" s="17"/>
      <c r="D39" s="105"/>
      <c r="E39" s="105"/>
      <c r="F39" s="105"/>
      <c r="G39" s="105"/>
      <c r="H39" s="106"/>
      <c r="I39" s="15">
        <v>0</v>
      </c>
      <c r="J39" s="2">
        <f>I39*C4</f>
        <v>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39"/>
      <c r="AA39" s="39"/>
      <c r="AB39" s="39"/>
      <c r="AC39" s="39"/>
    </row>
    <row r="40" spans="1:29" s="107" customFormat="1" hidden="1" x14ac:dyDescent="0.25">
      <c r="A40" s="16"/>
      <c r="B40" s="46"/>
      <c r="C40" s="17"/>
      <c r="D40" s="105"/>
      <c r="E40" s="105"/>
      <c r="F40" s="105"/>
      <c r="G40" s="105"/>
      <c r="H40" s="106"/>
      <c r="I40" s="15">
        <v>0</v>
      </c>
      <c r="J40" s="2">
        <f>I40*C4</f>
        <v>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39"/>
      <c r="AA40" s="39"/>
      <c r="AB40" s="39"/>
      <c r="AC40" s="39"/>
    </row>
    <row r="41" spans="1:29" s="107" customFormat="1" hidden="1" x14ac:dyDescent="0.25">
      <c r="A41" s="16"/>
      <c r="B41" s="46"/>
      <c r="C41" s="17"/>
      <c r="D41" s="105"/>
      <c r="E41" s="105"/>
      <c r="F41" s="105"/>
      <c r="G41" s="105"/>
      <c r="H41" s="106"/>
      <c r="I41" s="15">
        <v>0</v>
      </c>
      <c r="J41" s="2">
        <f>I41*C4</f>
        <v>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39"/>
      <c r="AA41" s="39"/>
      <c r="AB41" s="39"/>
      <c r="AC41" s="39"/>
    </row>
    <row r="42" spans="1:29" s="107" customFormat="1" hidden="1" x14ac:dyDescent="0.25">
      <c r="A42" s="103"/>
      <c r="B42" s="108" t="s">
        <v>173</v>
      </c>
      <c r="C42" s="104"/>
      <c r="D42" s="105"/>
      <c r="E42" s="105"/>
      <c r="F42" s="105"/>
      <c r="G42" s="105"/>
      <c r="H42" s="106"/>
      <c r="I42" s="2">
        <f>SUM(I32:I41)</f>
        <v>0</v>
      </c>
      <c r="J42" s="2">
        <f>SUM(J32:J41)</f>
        <v>0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39"/>
      <c r="AA42" s="39"/>
      <c r="AB42" s="39"/>
      <c r="AC42" s="39"/>
    </row>
    <row r="43" spans="1:29" s="107" customFormat="1" hidden="1" x14ac:dyDescent="0.25">
      <c r="A43" s="103"/>
      <c r="B43" s="103" t="s">
        <v>64</v>
      </c>
      <c r="C43" s="104"/>
      <c r="D43" s="105"/>
      <c r="E43" s="105"/>
      <c r="F43" s="105"/>
      <c r="G43" s="105"/>
      <c r="H43" s="106"/>
      <c r="I43" s="18">
        <v>0</v>
      </c>
      <c r="J43" s="2">
        <f>I43*C4</f>
        <v>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39"/>
      <c r="AA43" s="39"/>
      <c r="AB43" s="39"/>
      <c r="AC43" s="39"/>
    </row>
    <row r="44" spans="1:29" s="107" customFormat="1" hidden="1" x14ac:dyDescent="0.25">
      <c r="A44" s="103"/>
      <c r="B44" s="39"/>
      <c r="C44" s="104"/>
      <c r="D44" s="105"/>
      <c r="E44" s="105"/>
      <c r="F44" s="105"/>
      <c r="G44" s="105"/>
      <c r="H44" s="10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39"/>
      <c r="AA44" s="39"/>
      <c r="AB44" s="39"/>
      <c r="AC44" s="39"/>
    </row>
    <row r="45" spans="1:29" s="107" customFormat="1" hidden="1" x14ac:dyDescent="0.25">
      <c r="A45" s="103" t="s">
        <v>35</v>
      </c>
      <c r="B45" s="39"/>
      <c r="C45" s="104"/>
      <c r="D45" s="105"/>
      <c r="E45" s="105"/>
      <c r="F45" s="105"/>
      <c r="G45" s="105"/>
      <c r="H45" s="106"/>
      <c r="I45" s="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39"/>
      <c r="AA45" s="39"/>
      <c r="AB45" s="39"/>
      <c r="AC45" s="39"/>
    </row>
    <row r="46" spans="1:29" s="107" customFormat="1" hidden="1" x14ac:dyDescent="0.25">
      <c r="A46" s="103" t="s">
        <v>32</v>
      </c>
      <c r="B46" s="108" t="s">
        <v>33</v>
      </c>
      <c r="C46" s="104" t="s">
        <v>174</v>
      </c>
      <c r="D46" s="105"/>
      <c r="E46" s="105"/>
      <c r="F46" s="105"/>
      <c r="G46" s="105"/>
      <c r="H46" s="106"/>
      <c r="I46" s="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39"/>
      <c r="AA46" s="39"/>
      <c r="AB46" s="39"/>
      <c r="AC46" s="39"/>
    </row>
    <row r="47" spans="1:29" s="107" customFormat="1" hidden="1" x14ac:dyDescent="0.25">
      <c r="A47" s="16"/>
      <c r="B47" s="46"/>
      <c r="C47" s="17"/>
      <c r="D47" s="105"/>
      <c r="E47" s="105"/>
      <c r="F47" s="105"/>
      <c r="G47" s="105"/>
      <c r="H47" s="106"/>
      <c r="I47" s="15">
        <v>0</v>
      </c>
      <c r="J47" s="2">
        <f>I47*C4</f>
        <v>0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39"/>
      <c r="AA47" s="39"/>
      <c r="AB47" s="39"/>
      <c r="AC47" s="39"/>
    </row>
    <row r="48" spans="1:29" s="107" customFormat="1" hidden="1" x14ac:dyDescent="0.25">
      <c r="A48" s="16"/>
      <c r="B48" s="46"/>
      <c r="C48" s="17"/>
      <c r="D48" s="105"/>
      <c r="E48" s="105"/>
      <c r="F48" s="105"/>
      <c r="G48" s="105"/>
      <c r="H48" s="106"/>
      <c r="I48" s="15">
        <v>0</v>
      </c>
      <c r="J48" s="2">
        <f>I48*C4</f>
        <v>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39"/>
      <c r="AA48" s="39"/>
      <c r="AB48" s="39"/>
      <c r="AC48" s="39"/>
    </row>
    <row r="49" spans="1:29" s="107" customFormat="1" hidden="1" x14ac:dyDescent="0.25">
      <c r="A49" s="16"/>
      <c r="B49" s="46"/>
      <c r="C49" s="17"/>
      <c r="D49" s="105"/>
      <c r="E49" s="105"/>
      <c r="F49" s="105"/>
      <c r="G49" s="105"/>
      <c r="H49" s="106"/>
      <c r="I49" s="15">
        <v>0</v>
      </c>
      <c r="J49" s="2">
        <f>I49*C4</f>
        <v>0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39"/>
      <c r="AA49" s="39"/>
      <c r="AB49" s="39"/>
      <c r="AC49" s="39"/>
    </row>
    <row r="50" spans="1:29" s="107" customFormat="1" hidden="1" x14ac:dyDescent="0.25">
      <c r="A50" s="16"/>
      <c r="B50" s="46"/>
      <c r="C50" s="17"/>
      <c r="D50" s="105"/>
      <c r="E50" s="105"/>
      <c r="F50" s="105"/>
      <c r="G50" s="105"/>
      <c r="H50" s="106"/>
      <c r="I50" s="15">
        <v>0</v>
      </c>
      <c r="J50" s="2">
        <f>I50*C4</f>
        <v>0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39"/>
      <c r="AA50" s="39"/>
      <c r="AB50" s="39"/>
      <c r="AC50" s="39"/>
    </row>
    <row r="51" spans="1:29" s="107" customFormat="1" hidden="1" x14ac:dyDescent="0.25">
      <c r="A51" s="16"/>
      <c r="B51" s="46"/>
      <c r="C51" s="17"/>
      <c r="D51" s="105"/>
      <c r="E51" s="105"/>
      <c r="F51" s="105"/>
      <c r="G51" s="105"/>
      <c r="H51" s="106"/>
      <c r="I51" s="15">
        <v>0</v>
      </c>
      <c r="J51" s="2">
        <f>I51*C4</f>
        <v>0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39"/>
      <c r="AA51" s="39"/>
      <c r="AB51" s="39"/>
      <c r="AC51" s="39"/>
    </row>
    <row r="52" spans="1:29" s="107" customFormat="1" hidden="1" x14ac:dyDescent="0.25">
      <c r="A52" s="16"/>
      <c r="B52" s="46"/>
      <c r="C52" s="17"/>
      <c r="D52" s="105"/>
      <c r="E52" s="105"/>
      <c r="F52" s="105"/>
      <c r="G52" s="105"/>
      <c r="H52" s="106"/>
      <c r="I52" s="15">
        <v>0</v>
      </c>
      <c r="J52" s="2">
        <f>I52*C4</f>
        <v>0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39"/>
      <c r="AA52" s="39"/>
      <c r="AB52" s="39"/>
      <c r="AC52" s="39"/>
    </row>
    <row r="53" spans="1:29" s="107" customFormat="1" hidden="1" x14ac:dyDescent="0.25">
      <c r="A53" s="16"/>
      <c r="B53" s="46"/>
      <c r="C53" s="17"/>
      <c r="D53" s="105"/>
      <c r="E53" s="105"/>
      <c r="F53" s="105"/>
      <c r="G53" s="105"/>
      <c r="H53" s="106"/>
      <c r="I53" s="15">
        <v>0</v>
      </c>
      <c r="J53" s="2">
        <f>I53*C4</f>
        <v>0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39"/>
      <c r="AA53" s="39"/>
      <c r="AB53" s="39"/>
      <c r="AC53" s="39"/>
    </row>
    <row r="54" spans="1:29" s="107" customFormat="1" hidden="1" x14ac:dyDescent="0.25">
      <c r="A54" s="16"/>
      <c r="B54" s="46"/>
      <c r="C54" s="17"/>
      <c r="D54" s="105"/>
      <c r="E54" s="105"/>
      <c r="F54" s="105"/>
      <c r="G54" s="105"/>
      <c r="H54" s="106"/>
      <c r="I54" s="15">
        <v>0</v>
      </c>
      <c r="J54" s="2">
        <f>I54*C4</f>
        <v>0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39"/>
      <c r="AA54" s="39"/>
      <c r="AB54" s="39"/>
      <c r="AC54" s="39"/>
    </row>
    <row r="55" spans="1:29" s="107" customFormat="1" hidden="1" x14ac:dyDescent="0.25">
      <c r="A55" s="16"/>
      <c r="B55" s="46"/>
      <c r="C55" s="17"/>
      <c r="D55" s="105"/>
      <c r="E55" s="105"/>
      <c r="F55" s="105"/>
      <c r="G55" s="105"/>
      <c r="H55" s="106"/>
      <c r="I55" s="15">
        <v>0</v>
      </c>
      <c r="J55" s="2">
        <f>I55*C4</f>
        <v>0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39"/>
      <c r="AA55" s="39"/>
      <c r="AB55" s="39"/>
      <c r="AC55" s="39"/>
    </row>
    <row r="56" spans="1:29" s="107" customFormat="1" hidden="1" x14ac:dyDescent="0.25">
      <c r="A56" s="16"/>
      <c r="B56" s="46"/>
      <c r="C56" s="17"/>
      <c r="D56" s="105"/>
      <c r="E56" s="105"/>
      <c r="F56" s="105"/>
      <c r="G56" s="105"/>
      <c r="H56" s="106"/>
      <c r="I56" s="15">
        <v>0</v>
      </c>
      <c r="J56" s="2">
        <f>I56*C4</f>
        <v>0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39"/>
      <c r="AA56" s="39"/>
      <c r="AB56" s="39"/>
      <c r="AC56" s="39"/>
    </row>
    <row r="57" spans="1:29" s="107" customFormat="1" hidden="1" x14ac:dyDescent="0.25">
      <c r="A57" s="103"/>
      <c r="B57" s="108" t="s">
        <v>173</v>
      </c>
      <c r="C57" s="104"/>
      <c r="D57" s="105"/>
      <c r="E57" s="105"/>
      <c r="F57" s="105"/>
      <c r="G57" s="105"/>
      <c r="H57" s="106"/>
      <c r="I57" s="4">
        <f>SUM(I47:I56)</f>
        <v>0</v>
      </c>
      <c r="J57" s="2">
        <f>SUM(J47:J56)</f>
        <v>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39"/>
      <c r="AA57" s="39"/>
      <c r="AB57" s="39"/>
      <c r="AC57" s="39"/>
    </row>
    <row r="58" spans="1:29" s="107" customFormat="1" hidden="1" x14ac:dyDescent="0.25">
      <c r="A58" s="103"/>
      <c r="B58" s="39"/>
      <c r="C58" s="104"/>
      <c r="D58" s="105"/>
      <c r="E58" s="105"/>
      <c r="F58" s="105"/>
      <c r="G58" s="105"/>
      <c r="H58" s="106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39"/>
      <c r="AA58" s="39"/>
      <c r="AB58" s="39"/>
      <c r="AC58" s="39"/>
    </row>
    <row r="59" spans="1:29" s="107" customFormat="1" hidden="1" x14ac:dyDescent="0.25">
      <c r="A59" s="103" t="s">
        <v>22</v>
      </c>
      <c r="B59" s="39"/>
      <c r="C59" s="104"/>
      <c r="D59" s="105"/>
      <c r="E59" s="105"/>
      <c r="F59" s="105"/>
      <c r="G59" s="105"/>
      <c r="H59" s="10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39"/>
      <c r="AA59" s="39"/>
      <c r="AB59" s="39"/>
      <c r="AC59" s="39"/>
    </row>
    <row r="60" spans="1:29" s="107" customFormat="1" hidden="1" x14ac:dyDescent="0.25">
      <c r="A60" s="103" t="s">
        <v>32</v>
      </c>
      <c r="B60" s="108" t="s">
        <v>33</v>
      </c>
      <c r="C60" s="104" t="s">
        <v>174</v>
      </c>
      <c r="D60" s="105"/>
      <c r="E60" s="105"/>
      <c r="F60" s="105"/>
      <c r="G60" s="105"/>
      <c r="H60" s="106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39"/>
      <c r="AA60" s="39"/>
      <c r="AB60" s="39"/>
      <c r="AC60" s="39"/>
    </row>
    <row r="61" spans="1:29" s="107" customFormat="1" hidden="1" x14ac:dyDescent="0.25">
      <c r="A61" s="16"/>
      <c r="B61" s="46"/>
      <c r="C61" s="17"/>
      <c r="D61" s="105"/>
      <c r="E61" s="105"/>
      <c r="F61" s="105"/>
      <c r="G61" s="105"/>
      <c r="H61" s="106"/>
      <c r="I61" s="15">
        <v>0</v>
      </c>
      <c r="J61" s="2">
        <f>I61*C4</f>
        <v>0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39"/>
      <c r="AA61" s="39"/>
      <c r="AB61" s="39"/>
      <c r="AC61" s="39"/>
    </row>
    <row r="62" spans="1:29" s="107" customFormat="1" hidden="1" x14ac:dyDescent="0.25">
      <c r="A62" s="16"/>
      <c r="B62" s="46"/>
      <c r="C62" s="17"/>
      <c r="D62" s="105"/>
      <c r="E62" s="105"/>
      <c r="F62" s="105"/>
      <c r="G62" s="105"/>
      <c r="H62" s="106"/>
      <c r="I62" s="15">
        <v>0</v>
      </c>
      <c r="J62" s="2">
        <f>I62*C4</f>
        <v>0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39"/>
      <c r="AA62" s="39"/>
      <c r="AB62" s="39"/>
      <c r="AC62" s="39"/>
    </row>
    <row r="63" spans="1:29" s="107" customFormat="1" hidden="1" x14ac:dyDescent="0.25">
      <c r="A63" s="16"/>
      <c r="B63" s="46"/>
      <c r="C63" s="17"/>
      <c r="D63" s="105"/>
      <c r="E63" s="105"/>
      <c r="F63" s="105"/>
      <c r="G63" s="105"/>
      <c r="H63" s="106"/>
      <c r="I63" s="15">
        <v>0</v>
      </c>
      <c r="J63" s="2">
        <f>I63*C4</f>
        <v>0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39"/>
      <c r="AA63" s="39"/>
      <c r="AB63" s="39"/>
      <c r="AC63" s="39"/>
    </row>
    <row r="64" spans="1:29" s="107" customFormat="1" hidden="1" x14ac:dyDescent="0.25">
      <c r="A64" s="16"/>
      <c r="B64" s="46"/>
      <c r="C64" s="17"/>
      <c r="D64" s="105"/>
      <c r="E64" s="105"/>
      <c r="F64" s="105"/>
      <c r="G64" s="105"/>
      <c r="H64" s="106"/>
      <c r="I64" s="15">
        <v>0</v>
      </c>
      <c r="J64" s="2">
        <f>I64*C4</f>
        <v>0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39"/>
      <c r="AA64" s="39"/>
      <c r="AB64" s="39"/>
      <c r="AC64" s="39"/>
    </row>
    <row r="65" spans="1:29" s="107" customFormat="1" hidden="1" x14ac:dyDescent="0.25">
      <c r="A65" s="16"/>
      <c r="B65" s="46"/>
      <c r="C65" s="17"/>
      <c r="D65" s="105"/>
      <c r="E65" s="105"/>
      <c r="F65" s="105"/>
      <c r="G65" s="105"/>
      <c r="H65" s="106"/>
      <c r="I65" s="15">
        <v>0</v>
      </c>
      <c r="J65" s="2">
        <f>I65*C4</f>
        <v>0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39"/>
      <c r="AA65" s="39"/>
      <c r="AB65" s="39"/>
      <c r="AC65" s="39"/>
    </row>
    <row r="66" spans="1:29" s="107" customFormat="1" hidden="1" x14ac:dyDescent="0.25">
      <c r="A66" s="16"/>
      <c r="B66" s="46"/>
      <c r="C66" s="17"/>
      <c r="D66" s="105"/>
      <c r="E66" s="105"/>
      <c r="F66" s="105"/>
      <c r="G66" s="105"/>
      <c r="H66" s="106"/>
      <c r="I66" s="15">
        <v>0</v>
      </c>
      <c r="J66" s="2">
        <f>I66*C4</f>
        <v>0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39"/>
      <c r="AA66" s="39"/>
      <c r="AB66" s="39"/>
      <c r="AC66" s="39"/>
    </row>
    <row r="67" spans="1:29" s="107" customFormat="1" hidden="1" x14ac:dyDescent="0.25">
      <c r="A67" s="16"/>
      <c r="B67" s="46"/>
      <c r="C67" s="17"/>
      <c r="D67" s="105"/>
      <c r="E67" s="105"/>
      <c r="F67" s="105"/>
      <c r="G67" s="105"/>
      <c r="H67" s="106"/>
      <c r="I67" s="15">
        <v>0</v>
      </c>
      <c r="J67" s="2">
        <f>I67*C4</f>
        <v>0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39"/>
      <c r="AA67" s="39"/>
      <c r="AB67" s="39"/>
      <c r="AC67" s="39"/>
    </row>
    <row r="68" spans="1:29" s="107" customFormat="1" hidden="1" x14ac:dyDescent="0.25">
      <c r="A68" s="16"/>
      <c r="B68" s="46"/>
      <c r="C68" s="17"/>
      <c r="D68" s="105"/>
      <c r="E68" s="105"/>
      <c r="F68" s="105"/>
      <c r="G68" s="105"/>
      <c r="H68" s="106"/>
      <c r="I68" s="15">
        <v>0</v>
      </c>
      <c r="J68" s="2">
        <f>I68*C4</f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39"/>
      <c r="AA68" s="39"/>
      <c r="AB68" s="39"/>
      <c r="AC68" s="39"/>
    </row>
    <row r="69" spans="1:29" s="107" customFormat="1" hidden="1" x14ac:dyDescent="0.25">
      <c r="A69" s="16"/>
      <c r="B69" s="46"/>
      <c r="C69" s="17"/>
      <c r="D69" s="105"/>
      <c r="E69" s="105"/>
      <c r="F69" s="105"/>
      <c r="G69" s="105"/>
      <c r="H69" s="106"/>
      <c r="I69" s="15">
        <v>0</v>
      </c>
      <c r="J69" s="2">
        <f>I69*C4</f>
        <v>0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39"/>
      <c r="AA69" s="39"/>
      <c r="AB69" s="39"/>
      <c r="AC69" s="39"/>
    </row>
    <row r="70" spans="1:29" s="107" customFormat="1" hidden="1" x14ac:dyDescent="0.25">
      <c r="A70" s="16"/>
      <c r="B70" s="46"/>
      <c r="C70" s="17"/>
      <c r="D70" s="105"/>
      <c r="E70" s="105"/>
      <c r="F70" s="105"/>
      <c r="G70" s="105"/>
      <c r="H70" s="106"/>
      <c r="I70" s="15">
        <v>0</v>
      </c>
      <c r="J70" s="2">
        <f>I70*C4</f>
        <v>0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39"/>
      <c r="AA70" s="39"/>
      <c r="AB70" s="39"/>
      <c r="AC70" s="39"/>
    </row>
    <row r="71" spans="1:29" s="107" customFormat="1" hidden="1" x14ac:dyDescent="0.25">
      <c r="A71" s="103"/>
      <c r="B71" s="108" t="s">
        <v>173</v>
      </c>
      <c r="C71" s="104"/>
      <c r="D71" s="105"/>
      <c r="E71" s="105"/>
      <c r="F71" s="105"/>
      <c r="G71" s="105"/>
      <c r="H71" s="106"/>
      <c r="I71" s="4">
        <f>SUM(I61:I70)</f>
        <v>0</v>
      </c>
      <c r="J71" s="2">
        <f>SUM(J61:J70)</f>
        <v>0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39"/>
      <c r="AA71" s="39"/>
      <c r="AB71" s="39"/>
      <c r="AC71" s="39"/>
    </row>
    <row r="72" spans="1:29" s="107" customFormat="1" hidden="1" x14ac:dyDescent="0.25">
      <c r="A72" s="103"/>
      <c r="B72" s="39"/>
      <c r="C72" s="104"/>
      <c r="D72" s="105"/>
      <c r="E72" s="105"/>
      <c r="F72" s="105"/>
      <c r="G72" s="105"/>
      <c r="H72" s="106"/>
      <c r="I72" s="3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</row>
    <row r="73" spans="1:29" s="107" customFormat="1" ht="13.8" hidden="1" thickBot="1" x14ac:dyDescent="0.3">
      <c r="A73" s="117" t="s">
        <v>3</v>
      </c>
      <c r="B73" s="117"/>
      <c r="C73" s="118"/>
      <c r="D73" s="119"/>
      <c r="E73" s="119"/>
      <c r="F73" s="119"/>
      <c r="G73" s="119"/>
      <c r="H73" s="120"/>
      <c r="I73" s="29">
        <f>SUM(I28+I42+I43+I57+I71)</f>
        <v>0</v>
      </c>
      <c r="J73" s="29">
        <f>SUM(J28+J42+J43+J57+J71)</f>
        <v>0</v>
      </c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39"/>
      <c r="AA73" s="39"/>
      <c r="AB73" s="39"/>
      <c r="AC73" s="39"/>
    </row>
    <row r="74" spans="1:29" s="107" customFormat="1" hidden="1" x14ac:dyDescent="0.25">
      <c r="A74" s="103"/>
      <c r="B74" s="103"/>
      <c r="C74" s="122"/>
      <c r="D74" s="123"/>
      <c r="E74" s="123"/>
      <c r="F74" s="123"/>
      <c r="G74" s="123"/>
      <c r="H74" s="124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39"/>
      <c r="AA74" s="39"/>
      <c r="AB74" s="39"/>
      <c r="AC74" s="39"/>
    </row>
    <row r="75" spans="1:29" s="39" customFormat="1" ht="13.8" thickBot="1" x14ac:dyDescent="0.3">
      <c r="A75" s="74" t="s">
        <v>6</v>
      </c>
      <c r="B75" s="103"/>
      <c r="C75" s="122"/>
      <c r="D75" s="126"/>
      <c r="E75" s="126"/>
      <c r="F75" s="126"/>
      <c r="G75" s="126"/>
      <c r="H75" s="127"/>
      <c r="I75" s="3"/>
    </row>
    <row r="76" spans="1:29" ht="13.8" thickBot="1" x14ac:dyDescent="0.3">
      <c r="A76" s="35"/>
      <c r="B76" s="74"/>
      <c r="E76" s="86"/>
      <c r="F76" s="85" t="s">
        <v>30</v>
      </c>
      <c r="G76" s="86" t="s">
        <v>31</v>
      </c>
      <c r="H76" s="71" t="s">
        <v>0</v>
      </c>
      <c r="I76" s="87" t="s">
        <v>69</v>
      </c>
      <c r="J76" s="87" t="s">
        <v>69</v>
      </c>
      <c r="K76" s="847" t="s">
        <v>185</v>
      </c>
      <c r="L76" s="848"/>
      <c r="M76" s="848"/>
      <c r="N76" s="848"/>
      <c r="O76" s="848"/>
      <c r="P76" s="848"/>
      <c r="Q76" s="848"/>
      <c r="R76" s="848"/>
      <c r="S76" s="848"/>
      <c r="T76" s="849"/>
      <c r="U76" s="219"/>
      <c r="V76" s="219"/>
      <c r="W76" s="219"/>
      <c r="X76" s="219"/>
      <c r="Y76" s="219"/>
    </row>
    <row r="77" spans="1:29" ht="13.8" thickBot="1" x14ac:dyDescent="0.3">
      <c r="A77" s="35"/>
      <c r="B77" s="74"/>
      <c r="E77" s="86"/>
      <c r="F77" s="85"/>
      <c r="G77" s="86"/>
      <c r="H77" s="71"/>
      <c r="I77" s="87" t="s">
        <v>5</v>
      </c>
      <c r="J77" s="87" t="s">
        <v>5</v>
      </c>
      <c r="K77" s="128" t="s">
        <v>175</v>
      </c>
      <c r="L77" s="128" t="s">
        <v>176</v>
      </c>
      <c r="M77" s="128" t="s">
        <v>177</v>
      </c>
      <c r="N77" s="128" t="s">
        <v>178</v>
      </c>
      <c r="O77" s="128" t="s">
        <v>179</v>
      </c>
      <c r="P77" s="128" t="s">
        <v>180</v>
      </c>
      <c r="Q77" s="128" t="s">
        <v>181</v>
      </c>
      <c r="R77" s="128" t="s">
        <v>182</v>
      </c>
      <c r="S77" s="128" t="s">
        <v>183</v>
      </c>
      <c r="T77" s="128" t="s">
        <v>184</v>
      </c>
      <c r="U77" s="87"/>
      <c r="V77" s="87"/>
      <c r="W77" s="87"/>
      <c r="X77" s="87"/>
      <c r="Y77" s="87"/>
    </row>
    <row r="78" spans="1:29" x14ac:dyDescent="0.25">
      <c r="B78" s="74"/>
      <c r="E78" s="86"/>
      <c r="F78" s="85" t="s">
        <v>1</v>
      </c>
      <c r="G78" s="86" t="s">
        <v>2</v>
      </c>
      <c r="H78" s="90" t="s">
        <v>20</v>
      </c>
      <c r="I78" s="90" t="s">
        <v>20</v>
      </c>
      <c r="J78" s="91" t="s">
        <v>4</v>
      </c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20"/>
      <c r="V78" s="220"/>
      <c r="W78" s="220"/>
      <c r="X78" s="220"/>
      <c r="Y78" s="220"/>
    </row>
    <row r="79" spans="1:29" x14ac:dyDescent="0.25">
      <c r="A79" s="74" t="s">
        <v>83</v>
      </c>
      <c r="B79" s="74"/>
      <c r="E79" s="86"/>
      <c r="F79" s="85"/>
      <c r="G79" s="86"/>
      <c r="H79" s="90"/>
      <c r="I79" s="90"/>
      <c r="J79" s="91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20"/>
      <c r="V79" s="220"/>
      <c r="W79" s="220"/>
      <c r="X79" s="220"/>
      <c r="Y79" s="220"/>
    </row>
    <row r="80" spans="1:29" x14ac:dyDescent="0.25">
      <c r="A80" s="129">
        <v>1</v>
      </c>
      <c r="B80" s="130" t="s">
        <v>84</v>
      </c>
      <c r="C80" s="131"/>
      <c r="D80" s="132"/>
      <c r="E80" s="133"/>
      <c r="F80" s="134"/>
      <c r="G80" s="133"/>
      <c r="H80" s="135"/>
      <c r="I80" s="136"/>
      <c r="J80" s="137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21"/>
      <c r="V80" s="221"/>
      <c r="W80" s="221"/>
      <c r="X80" s="221"/>
      <c r="Y80" s="221"/>
      <c r="Z80" s="137"/>
      <c r="AA80" s="137"/>
    </row>
    <row r="81" spans="1:28" x14ac:dyDescent="0.25">
      <c r="A81" s="113" t="s">
        <v>87</v>
      </c>
      <c r="E81" s="138"/>
      <c r="F81" s="116"/>
      <c r="G81" s="138"/>
      <c r="H81" s="112"/>
      <c r="I81" s="31"/>
      <c r="J81" s="32">
        <f>SUM('DSPR- J'!G81,'DSPR-L'!G85,'MECC-S'!G81,'MECC-L'!G81,'IOCC-J'!G81,'IOCC-L'!G49,'IOCC-S'!G81,'LWF-J'!G81,'LWF-S'!G81,'HEKS-L'!G81)</f>
        <v>20000</v>
      </c>
      <c r="K81" s="240"/>
      <c r="L81" s="240"/>
      <c r="M81" s="240"/>
      <c r="N81" s="240"/>
      <c r="O81" s="240"/>
      <c r="P81" s="240"/>
      <c r="Q81" s="240"/>
      <c r="R81" s="240"/>
      <c r="S81" s="240"/>
      <c r="T81" s="249"/>
      <c r="U81" s="263"/>
      <c r="V81" s="222">
        <f>U81-I81</f>
        <v>0</v>
      </c>
      <c r="W81" s="228">
        <f>IF(I81=0,0,V81/I81)</f>
        <v>0</v>
      </c>
      <c r="X81" s="222">
        <f>U81*C4</f>
        <v>0</v>
      </c>
      <c r="Y81" s="222">
        <f>X81-J81</f>
        <v>-20000</v>
      </c>
      <c r="Z81" s="231">
        <f>IF(J81=0,0,Y81/J81)</f>
        <v>-1</v>
      </c>
      <c r="AA81" s="231"/>
      <c r="AB81" s="823" t="s">
        <v>915</v>
      </c>
    </row>
    <row r="82" spans="1:28" x14ac:dyDescent="0.25">
      <c r="A82" s="113" t="s">
        <v>189</v>
      </c>
      <c r="B82" s="113"/>
      <c r="E82" s="139"/>
      <c r="F82" s="4"/>
      <c r="G82" s="139"/>
      <c r="H82" s="3"/>
      <c r="I82" s="3" t="e">
        <f>#REF!+#REF!+#REF!+#REF!+#REF!</f>
        <v>#REF!</v>
      </c>
      <c r="J82" s="32">
        <f>SUM('DSPR- J'!G83:G83,'DSPR-L'!G87:G92,'MECC-S'!G83:G88,'MECC-L'!G83:G88,'IOCC-J'!G83:G88,'IOCC-L'!G51:G52,'IOCC-S'!G83:G85,'LWF-J'!G83:G88,'LWF-S'!G83:G86,'HEKS-L'!G83:G87)</f>
        <v>220461.12284000003</v>
      </c>
      <c r="K82" s="239"/>
      <c r="L82" s="239"/>
      <c r="M82" s="239"/>
      <c r="N82" s="239"/>
      <c r="O82" s="239"/>
      <c r="P82" s="239"/>
      <c r="Q82" s="239"/>
      <c r="R82" s="239"/>
      <c r="S82" s="239"/>
      <c r="T82" s="250"/>
      <c r="U82" s="261"/>
      <c r="V82" s="222" t="e">
        <f t="shared" ref="V82:V145" si="0">U82-I82</f>
        <v>#REF!</v>
      </c>
      <c r="W82" s="228" t="e">
        <f t="shared" ref="W82:W145" si="1">IF(I82=0,0,V82/I82)</f>
        <v>#REF!</v>
      </c>
      <c r="X82" s="222">
        <f>U82*C4</f>
        <v>0</v>
      </c>
      <c r="Y82" s="222">
        <f t="shared" ref="Y82:Y145" si="2">X82-J82</f>
        <v>-220461.12284000003</v>
      </c>
      <c r="Z82" s="231">
        <f t="shared" ref="Z82:Z145" si="3">IF(J82=0,0,Y82/J82)</f>
        <v>-1</v>
      </c>
      <c r="AA82" s="231"/>
    </row>
    <row r="83" spans="1:28" hidden="1" x14ac:dyDescent="0.25">
      <c r="A83" s="140" t="s">
        <v>86</v>
      </c>
      <c r="B83" s="141"/>
      <c r="E83" s="138"/>
      <c r="F83" s="116"/>
      <c r="G83" s="138"/>
      <c r="H83" s="112"/>
      <c r="I83" s="33">
        <f t="shared" ref="I83:I88" si="4">G83*H83</f>
        <v>0</v>
      </c>
      <c r="J83" s="32">
        <f>I83*C4</f>
        <v>0</v>
      </c>
      <c r="K83" s="239"/>
      <c r="L83" s="239"/>
      <c r="M83" s="239"/>
      <c r="N83" s="239"/>
      <c r="O83" s="239"/>
      <c r="P83" s="239"/>
      <c r="Q83" s="239"/>
      <c r="R83" s="239"/>
      <c r="S83" s="239"/>
      <c r="T83" s="250"/>
      <c r="U83" s="261"/>
      <c r="V83" s="222">
        <f t="shared" si="0"/>
        <v>0</v>
      </c>
      <c r="W83" s="228">
        <f t="shared" si="1"/>
        <v>0</v>
      </c>
      <c r="X83" s="222">
        <f t="shared" ref="X83:X145" si="5">U83*C6</f>
        <v>0</v>
      </c>
      <c r="Y83" s="222">
        <f t="shared" si="2"/>
        <v>0</v>
      </c>
      <c r="Z83" s="231">
        <f t="shared" si="3"/>
        <v>0</v>
      </c>
      <c r="AA83" s="231"/>
    </row>
    <row r="84" spans="1:28" hidden="1" x14ac:dyDescent="0.25">
      <c r="A84" s="143" t="s">
        <v>89</v>
      </c>
      <c r="B84" s="144"/>
      <c r="E84" s="138"/>
      <c r="F84" s="116"/>
      <c r="G84" s="138"/>
      <c r="H84" s="112"/>
      <c r="I84" s="33">
        <f t="shared" si="4"/>
        <v>0</v>
      </c>
      <c r="J84" s="32">
        <f>I84*C4</f>
        <v>0</v>
      </c>
      <c r="K84" s="239"/>
      <c r="L84" s="239"/>
      <c r="M84" s="239"/>
      <c r="N84" s="239"/>
      <c r="O84" s="239"/>
      <c r="P84" s="239"/>
      <c r="Q84" s="239"/>
      <c r="R84" s="239"/>
      <c r="S84" s="239"/>
      <c r="T84" s="250"/>
      <c r="U84" s="261"/>
      <c r="V84" s="222">
        <f t="shared" si="0"/>
        <v>0</v>
      </c>
      <c r="W84" s="228">
        <f t="shared" si="1"/>
        <v>0</v>
      </c>
      <c r="X84" s="222">
        <f t="shared" si="5"/>
        <v>0</v>
      </c>
      <c r="Y84" s="222">
        <f t="shared" si="2"/>
        <v>0</v>
      </c>
      <c r="Z84" s="231">
        <f t="shared" si="3"/>
        <v>0</v>
      </c>
      <c r="AA84" s="231"/>
    </row>
    <row r="85" spans="1:28" hidden="1" x14ac:dyDescent="0.25">
      <c r="A85" s="143" t="s">
        <v>90</v>
      </c>
      <c r="B85" s="144"/>
      <c r="E85" s="138"/>
      <c r="F85" s="116"/>
      <c r="G85" s="138"/>
      <c r="H85" s="112"/>
      <c r="I85" s="33">
        <f t="shared" si="4"/>
        <v>0</v>
      </c>
      <c r="J85" s="32">
        <f>I85*C4</f>
        <v>0</v>
      </c>
      <c r="K85" s="239"/>
      <c r="L85" s="239"/>
      <c r="M85" s="239"/>
      <c r="N85" s="239"/>
      <c r="O85" s="239"/>
      <c r="P85" s="239"/>
      <c r="Q85" s="239"/>
      <c r="R85" s="239"/>
      <c r="S85" s="239"/>
      <c r="T85" s="250"/>
      <c r="U85" s="261"/>
      <c r="V85" s="222">
        <f t="shared" si="0"/>
        <v>0</v>
      </c>
      <c r="W85" s="228">
        <f t="shared" si="1"/>
        <v>0</v>
      </c>
      <c r="X85" s="222" t="e">
        <f t="shared" si="5"/>
        <v>#VALUE!</v>
      </c>
      <c r="Y85" s="222" t="e">
        <f t="shared" si="2"/>
        <v>#VALUE!</v>
      </c>
      <c r="Z85" s="231">
        <f t="shared" si="3"/>
        <v>0</v>
      </c>
      <c r="AA85" s="231"/>
    </row>
    <row r="86" spans="1:28" hidden="1" x14ac:dyDescent="0.25">
      <c r="A86" s="143" t="s">
        <v>91</v>
      </c>
      <c r="B86" s="144"/>
      <c r="E86" s="138"/>
      <c r="F86" s="116"/>
      <c r="G86" s="138"/>
      <c r="H86" s="112"/>
      <c r="I86" s="33">
        <f t="shared" si="4"/>
        <v>0</v>
      </c>
      <c r="J86" s="32">
        <f>I86*C4</f>
        <v>0</v>
      </c>
      <c r="K86" s="239"/>
      <c r="L86" s="239"/>
      <c r="M86" s="239"/>
      <c r="N86" s="239"/>
      <c r="O86" s="239"/>
      <c r="P86" s="239"/>
      <c r="Q86" s="239"/>
      <c r="R86" s="239"/>
      <c r="S86" s="239"/>
      <c r="T86" s="250"/>
      <c r="U86" s="261"/>
      <c r="V86" s="222">
        <f t="shared" si="0"/>
        <v>0</v>
      </c>
      <c r="W86" s="228">
        <f t="shared" si="1"/>
        <v>0</v>
      </c>
      <c r="X86" s="222" t="e">
        <f t="shared" si="5"/>
        <v>#VALUE!</v>
      </c>
      <c r="Y86" s="222" t="e">
        <f t="shared" si="2"/>
        <v>#VALUE!</v>
      </c>
      <c r="Z86" s="231">
        <f t="shared" si="3"/>
        <v>0</v>
      </c>
      <c r="AA86" s="231"/>
    </row>
    <row r="87" spans="1:28" hidden="1" x14ac:dyDescent="0.25">
      <c r="A87" s="143" t="s">
        <v>92</v>
      </c>
      <c r="B87" s="144"/>
      <c r="E87" s="138"/>
      <c r="F87" s="116"/>
      <c r="G87" s="138"/>
      <c r="H87" s="112"/>
      <c r="I87" s="33">
        <f t="shared" si="4"/>
        <v>0</v>
      </c>
      <c r="J87" s="32">
        <f>I87*C4</f>
        <v>0</v>
      </c>
      <c r="K87" s="239"/>
      <c r="L87" s="239"/>
      <c r="M87" s="239"/>
      <c r="N87" s="239"/>
      <c r="O87" s="239"/>
      <c r="P87" s="239"/>
      <c r="Q87" s="239"/>
      <c r="R87" s="239"/>
      <c r="S87" s="239"/>
      <c r="T87" s="250"/>
      <c r="U87" s="261"/>
      <c r="V87" s="222">
        <f t="shared" si="0"/>
        <v>0</v>
      </c>
      <c r="W87" s="228">
        <f t="shared" si="1"/>
        <v>0</v>
      </c>
      <c r="X87" s="222" t="e">
        <f t="shared" si="5"/>
        <v>#VALUE!</v>
      </c>
      <c r="Y87" s="222" t="e">
        <f t="shared" si="2"/>
        <v>#VALUE!</v>
      </c>
      <c r="Z87" s="231">
        <f t="shared" si="3"/>
        <v>0</v>
      </c>
      <c r="AA87" s="231"/>
    </row>
    <row r="88" spans="1:28" hidden="1" x14ac:dyDescent="0.25">
      <c r="A88" s="143" t="s">
        <v>93</v>
      </c>
      <c r="B88" s="144"/>
      <c r="E88" s="138"/>
      <c r="F88" s="116"/>
      <c r="G88" s="138"/>
      <c r="H88" s="112"/>
      <c r="I88" s="33">
        <f t="shared" si="4"/>
        <v>0</v>
      </c>
      <c r="J88" s="32">
        <f>I88*C4</f>
        <v>0</v>
      </c>
      <c r="K88" s="239"/>
      <c r="L88" s="239"/>
      <c r="M88" s="239"/>
      <c r="N88" s="239"/>
      <c r="O88" s="239"/>
      <c r="P88" s="239"/>
      <c r="Q88" s="239"/>
      <c r="R88" s="239"/>
      <c r="S88" s="239"/>
      <c r="T88" s="250"/>
      <c r="U88" s="261"/>
      <c r="V88" s="222">
        <f t="shared" si="0"/>
        <v>0</v>
      </c>
      <c r="W88" s="228">
        <f t="shared" si="1"/>
        <v>0</v>
      </c>
      <c r="X88" s="222">
        <f t="shared" si="5"/>
        <v>0</v>
      </c>
      <c r="Y88" s="222">
        <f t="shared" si="2"/>
        <v>0</v>
      </c>
      <c r="Z88" s="231">
        <f t="shared" si="3"/>
        <v>0</v>
      </c>
      <c r="AA88" s="231"/>
    </row>
    <row r="89" spans="1:28" hidden="1" x14ac:dyDescent="0.25">
      <c r="A89" s="145"/>
      <c r="B89" s="144"/>
      <c r="E89" s="146"/>
      <c r="F89" s="2"/>
      <c r="G89" s="146"/>
      <c r="H89" s="147"/>
      <c r="I89" s="34"/>
      <c r="K89" s="239"/>
      <c r="L89" s="239"/>
      <c r="M89" s="239"/>
      <c r="N89" s="239"/>
      <c r="O89" s="239"/>
      <c r="P89" s="239"/>
      <c r="Q89" s="239"/>
      <c r="R89" s="239"/>
      <c r="S89" s="239"/>
      <c r="T89" s="250"/>
      <c r="U89" s="261"/>
      <c r="V89" s="222">
        <f t="shared" si="0"/>
        <v>0</v>
      </c>
      <c r="W89" s="228">
        <f t="shared" si="1"/>
        <v>0</v>
      </c>
      <c r="X89" s="222">
        <f t="shared" si="5"/>
        <v>0</v>
      </c>
      <c r="Y89" s="222">
        <f t="shared" si="2"/>
        <v>0</v>
      </c>
      <c r="Z89" s="231">
        <f t="shared" si="3"/>
        <v>0</v>
      </c>
      <c r="AA89" s="231"/>
    </row>
    <row r="90" spans="1:28" x14ac:dyDescent="0.25">
      <c r="A90" s="113" t="s">
        <v>188</v>
      </c>
      <c r="E90" s="146"/>
      <c r="F90" s="2"/>
      <c r="G90" s="146"/>
      <c r="H90" s="147"/>
      <c r="I90" s="34" t="e">
        <f>#REF!+#REF!+#REF!+#REF!+#REF!</f>
        <v>#REF!</v>
      </c>
      <c r="J90" s="35">
        <f>SUM('DSPR- J'!G86:G89,'DSPR-L'!G95:G100,'MECC-S'!G91:G99,'MECC-L'!G91:G96,'IOCC-J'!G91:G98,'IOCC-L'!G55:G58,'IOCC-S'!G88:G94,'LWF-J'!G91:G105,'LWF-S'!G89:G94,'HEKS-L'!G91:G96)</f>
        <v>704155.56010150001</v>
      </c>
      <c r="K90" s="239"/>
      <c r="L90" s="239"/>
      <c r="M90" s="239"/>
      <c r="N90" s="239"/>
      <c r="O90" s="239"/>
      <c r="P90" s="239"/>
      <c r="Q90" s="239"/>
      <c r="R90" s="239"/>
      <c r="S90" s="239"/>
      <c r="T90" s="250"/>
      <c r="U90" s="261"/>
      <c r="V90" s="222" t="e">
        <f t="shared" si="0"/>
        <v>#REF!</v>
      </c>
      <c r="W90" s="228" t="e">
        <f t="shared" si="1"/>
        <v>#REF!</v>
      </c>
      <c r="X90" s="222">
        <f>U90*C4</f>
        <v>0</v>
      </c>
      <c r="Y90" s="222">
        <f t="shared" si="2"/>
        <v>-704155.56010150001</v>
      </c>
      <c r="Z90" s="231">
        <f t="shared" si="3"/>
        <v>-1</v>
      </c>
      <c r="AA90" s="231"/>
    </row>
    <row r="91" spans="1:28" hidden="1" x14ac:dyDescent="0.25">
      <c r="A91" s="81" t="s">
        <v>88</v>
      </c>
      <c r="B91" s="144"/>
      <c r="E91" s="138"/>
      <c r="F91" s="116"/>
      <c r="G91" s="138"/>
      <c r="H91" s="112"/>
      <c r="I91" s="34">
        <f t="shared" ref="I91:I96" si="6">G91*H91</f>
        <v>0</v>
      </c>
      <c r="J91" s="35">
        <f>I91*C4</f>
        <v>0</v>
      </c>
      <c r="K91" s="239"/>
      <c r="L91" s="239"/>
      <c r="M91" s="239"/>
      <c r="N91" s="239"/>
      <c r="O91" s="239"/>
      <c r="P91" s="239"/>
      <c r="Q91" s="239"/>
      <c r="R91" s="239"/>
      <c r="S91" s="239"/>
      <c r="T91" s="250"/>
      <c r="U91" s="256"/>
      <c r="V91" s="222">
        <f t="shared" si="0"/>
        <v>0</v>
      </c>
      <c r="W91" s="228">
        <f t="shared" si="1"/>
        <v>0</v>
      </c>
      <c r="X91" s="222">
        <f t="shared" si="5"/>
        <v>0</v>
      </c>
      <c r="Y91" s="222">
        <f t="shared" si="2"/>
        <v>0</v>
      </c>
      <c r="Z91" s="231">
        <f t="shared" si="3"/>
        <v>0</v>
      </c>
      <c r="AA91" s="231"/>
    </row>
    <row r="92" spans="1:28" hidden="1" x14ac:dyDescent="0.25">
      <c r="A92" s="148" t="s">
        <v>94</v>
      </c>
      <c r="B92" s="144"/>
      <c r="E92" s="138"/>
      <c r="F92" s="116"/>
      <c r="G92" s="138"/>
      <c r="H92" s="112"/>
      <c r="I92" s="34">
        <f t="shared" si="6"/>
        <v>0</v>
      </c>
      <c r="J92" s="35">
        <f>I92*C4</f>
        <v>0</v>
      </c>
      <c r="K92" s="239"/>
      <c r="L92" s="239"/>
      <c r="M92" s="239"/>
      <c r="N92" s="239"/>
      <c r="O92" s="239"/>
      <c r="P92" s="239"/>
      <c r="Q92" s="239"/>
      <c r="R92" s="239"/>
      <c r="S92" s="239"/>
      <c r="T92" s="250"/>
      <c r="U92" s="256"/>
      <c r="V92" s="222">
        <f t="shared" si="0"/>
        <v>0</v>
      </c>
      <c r="W92" s="228">
        <f t="shared" si="1"/>
        <v>0</v>
      </c>
      <c r="X92" s="222">
        <f t="shared" si="5"/>
        <v>0</v>
      </c>
      <c r="Y92" s="222">
        <f t="shared" si="2"/>
        <v>0</v>
      </c>
      <c r="Z92" s="231">
        <f t="shared" si="3"/>
        <v>0</v>
      </c>
      <c r="AA92" s="231"/>
    </row>
    <row r="93" spans="1:28" hidden="1" x14ac:dyDescent="0.25">
      <c r="A93" s="148" t="s">
        <v>95</v>
      </c>
      <c r="B93" s="144"/>
      <c r="E93" s="138"/>
      <c r="F93" s="116"/>
      <c r="G93" s="138"/>
      <c r="H93" s="112"/>
      <c r="I93" s="34">
        <f t="shared" si="6"/>
        <v>0</v>
      </c>
      <c r="J93" s="35">
        <f>I93*C4</f>
        <v>0</v>
      </c>
      <c r="K93" s="239"/>
      <c r="L93" s="239"/>
      <c r="M93" s="239"/>
      <c r="N93" s="239"/>
      <c r="O93" s="239"/>
      <c r="P93" s="239"/>
      <c r="Q93" s="239"/>
      <c r="R93" s="239"/>
      <c r="S93" s="239"/>
      <c r="T93" s="250"/>
      <c r="U93" s="256"/>
      <c r="V93" s="222">
        <f t="shared" si="0"/>
        <v>0</v>
      </c>
      <c r="W93" s="228">
        <f t="shared" si="1"/>
        <v>0</v>
      </c>
      <c r="X93" s="222">
        <f t="shared" si="5"/>
        <v>0</v>
      </c>
      <c r="Y93" s="222">
        <f t="shared" si="2"/>
        <v>0</v>
      </c>
      <c r="Z93" s="231">
        <f t="shared" si="3"/>
        <v>0</v>
      </c>
      <c r="AA93" s="231"/>
    </row>
    <row r="94" spans="1:28" hidden="1" x14ac:dyDescent="0.25">
      <c r="A94" s="148" t="s">
        <v>96</v>
      </c>
      <c r="B94" s="144"/>
      <c r="E94" s="138"/>
      <c r="F94" s="116"/>
      <c r="G94" s="138"/>
      <c r="H94" s="112"/>
      <c r="I94" s="34">
        <f t="shared" si="6"/>
        <v>0</v>
      </c>
      <c r="J94" s="35">
        <f>I94*C4</f>
        <v>0</v>
      </c>
      <c r="K94" s="239"/>
      <c r="L94" s="239"/>
      <c r="M94" s="239"/>
      <c r="N94" s="239"/>
      <c r="O94" s="239"/>
      <c r="P94" s="239"/>
      <c r="Q94" s="239"/>
      <c r="R94" s="239"/>
      <c r="S94" s="239"/>
      <c r="T94" s="250"/>
      <c r="U94" s="256"/>
      <c r="V94" s="222">
        <f t="shared" si="0"/>
        <v>0</v>
      </c>
      <c r="W94" s="228">
        <f t="shared" si="1"/>
        <v>0</v>
      </c>
      <c r="X94" s="222" t="e">
        <f t="shared" si="5"/>
        <v>#VALUE!</v>
      </c>
      <c r="Y94" s="222" t="e">
        <f t="shared" si="2"/>
        <v>#VALUE!</v>
      </c>
      <c r="Z94" s="231">
        <f t="shared" si="3"/>
        <v>0</v>
      </c>
      <c r="AA94" s="231"/>
    </row>
    <row r="95" spans="1:28" hidden="1" x14ac:dyDescent="0.25">
      <c r="A95" s="148" t="s">
        <v>97</v>
      </c>
      <c r="B95" s="144"/>
      <c r="E95" s="138"/>
      <c r="F95" s="116"/>
      <c r="G95" s="138"/>
      <c r="H95" s="112"/>
      <c r="I95" s="34">
        <f t="shared" si="6"/>
        <v>0</v>
      </c>
      <c r="J95" s="35">
        <f>I95*C4</f>
        <v>0</v>
      </c>
      <c r="K95" s="239"/>
      <c r="L95" s="239"/>
      <c r="M95" s="239"/>
      <c r="N95" s="239"/>
      <c r="O95" s="239"/>
      <c r="P95" s="239"/>
      <c r="Q95" s="239"/>
      <c r="R95" s="239"/>
      <c r="S95" s="239"/>
      <c r="T95" s="250"/>
      <c r="U95" s="256"/>
      <c r="V95" s="222">
        <f t="shared" si="0"/>
        <v>0</v>
      </c>
      <c r="W95" s="228">
        <f t="shared" si="1"/>
        <v>0</v>
      </c>
      <c r="X95" s="222" t="e">
        <f t="shared" si="5"/>
        <v>#VALUE!</v>
      </c>
      <c r="Y95" s="222" t="e">
        <f t="shared" si="2"/>
        <v>#VALUE!</v>
      </c>
      <c r="Z95" s="231">
        <f t="shared" si="3"/>
        <v>0</v>
      </c>
      <c r="AA95" s="231"/>
    </row>
    <row r="96" spans="1:28" hidden="1" x14ac:dyDescent="0.25">
      <c r="A96" s="148" t="s">
        <v>98</v>
      </c>
      <c r="B96" s="144"/>
      <c r="E96" s="138"/>
      <c r="F96" s="116"/>
      <c r="G96" s="138"/>
      <c r="H96" s="112"/>
      <c r="I96" s="34">
        <f t="shared" si="6"/>
        <v>0</v>
      </c>
      <c r="J96" s="35">
        <f>I96*C4</f>
        <v>0</v>
      </c>
      <c r="K96" s="239"/>
      <c r="L96" s="239"/>
      <c r="M96" s="239"/>
      <c r="N96" s="239"/>
      <c r="O96" s="239"/>
      <c r="P96" s="239"/>
      <c r="Q96" s="239"/>
      <c r="R96" s="239"/>
      <c r="S96" s="239"/>
      <c r="T96" s="250"/>
      <c r="U96" s="256"/>
      <c r="V96" s="222">
        <f t="shared" si="0"/>
        <v>0</v>
      </c>
      <c r="W96" s="228">
        <f t="shared" si="1"/>
        <v>0</v>
      </c>
      <c r="X96" s="222" t="e">
        <f t="shared" si="5"/>
        <v>#VALUE!</v>
      </c>
      <c r="Y96" s="222" t="e">
        <f t="shared" si="2"/>
        <v>#VALUE!</v>
      </c>
      <c r="Z96" s="231">
        <f t="shared" si="3"/>
        <v>0</v>
      </c>
      <c r="AA96" s="231"/>
    </row>
    <row r="97" spans="1:28" x14ac:dyDescent="0.25">
      <c r="A97" s="91"/>
      <c r="B97" s="149"/>
      <c r="E97" s="86"/>
      <c r="F97" s="85"/>
      <c r="G97" s="86"/>
      <c r="H97" s="90"/>
      <c r="I97" s="34"/>
      <c r="J97" s="91"/>
      <c r="K97" s="238"/>
      <c r="L97" s="238"/>
      <c r="M97" s="238"/>
      <c r="N97" s="238"/>
      <c r="O97" s="238"/>
      <c r="P97" s="238"/>
      <c r="Q97" s="238"/>
      <c r="R97" s="238"/>
      <c r="S97" s="238"/>
      <c r="T97" s="251"/>
      <c r="U97" s="257"/>
      <c r="V97" s="222"/>
      <c r="W97" s="228"/>
      <c r="X97" s="222"/>
      <c r="Y97" s="222"/>
      <c r="Z97" s="231"/>
      <c r="AA97" s="231"/>
    </row>
    <row r="98" spans="1:28" ht="13.8" thickBot="1" x14ac:dyDescent="0.3">
      <c r="A98" s="103"/>
      <c r="B98" s="150" t="s">
        <v>85</v>
      </c>
      <c r="E98" s="126"/>
      <c r="F98" s="122"/>
      <c r="G98" s="126"/>
      <c r="H98" s="127"/>
      <c r="I98" s="36" t="e">
        <f>#REF!+#REF!+#REF!+#REF!+#REF!</f>
        <v>#REF!</v>
      </c>
      <c r="J98" s="36">
        <f>SUM('DSPR- J'!G93,'DSPR-L'!G104,'HEKS-L'!G100,'IOCC-J'!G103,'IOCC-L'!G62,'IOCC-S'!G98,'LWF-J'!G106,'LWF-S'!G95,'MECC-L'!G97,'MECC-S'!G100)</f>
        <v>944616.68294149986</v>
      </c>
      <c r="K98" s="241"/>
      <c r="L98" s="241"/>
      <c r="M98" s="241"/>
      <c r="N98" s="241"/>
      <c r="O98" s="241"/>
      <c r="P98" s="241"/>
      <c r="Q98" s="241"/>
      <c r="R98" s="241"/>
      <c r="S98" s="241"/>
      <c r="T98" s="252"/>
      <c r="U98" s="262"/>
      <c r="V98" s="222" t="e">
        <f t="shared" si="0"/>
        <v>#REF!</v>
      </c>
      <c r="W98" s="228" t="e">
        <f t="shared" si="1"/>
        <v>#REF!</v>
      </c>
      <c r="X98" s="222">
        <f>U98*C4</f>
        <v>0</v>
      </c>
      <c r="Y98" s="222">
        <f t="shared" si="2"/>
        <v>-944616.68294149986</v>
      </c>
      <c r="Z98" s="231">
        <f t="shared" si="3"/>
        <v>-1</v>
      </c>
      <c r="AA98" s="231"/>
    </row>
    <row r="99" spans="1:28" ht="13.8" thickTop="1" x14ac:dyDescent="0.25">
      <c r="A99" s="91"/>
      <c r="B99" s="74"/>
      <c r="E99" s="86"/>
      <c r="F99" s="85"/>
      <c r="G99" s="86"/>
      <c r="H99" s="90"/>
      <c r="I99" s="90"/>
      <c r="J99" s="91"/>
      <c r="K99" s="238"/>
      <c r="L99" s="238"/>
      <c r="M99" s="238"/>
      <c r="N99" s="238"/>
      <c r="O99" s="238"/>
      <c r="P99" s="238"/>
      <c r="Q99" s="238"/>
      <c r="R99" s="238"/>
      <c r="S99" s="238"/>
      <c r="T99" s="251"/>
      <c r="U99" s="257"/>
      <c r="V99" s="222"/>
      <c r="W99" s="228"/>
      <c r="X99" s="222"/>
      <c r="Y99" s="222"/>
      <c r="Z99" s="231"/>
      <c r="AA99" s="231"/>
    </row>
    <row r="100" spans="1:28" x14ac:dyDescent="0.25">
      <c r="A100" s="129">
        <v>2</v>
      </c>
      <c r="B100" s="130" t="s">
        <v>99</v>
      </c>
      <c r="C100" s="131"/>
      <c r="D100" s="132"/>
      <c r="E100" s="133"/>
      <c r="F100" s="134"/>
      <c r="G100" s="133"/>
      <c r="H100" s="135"/>
      <c r="I100" s="135"/>
      <c r="J100" s="151"/>
      <c r="K100" s="238"/>
      <c r="L100" s="238"/>
      <c r="M100" s="238"/>
      <c r="N100" s="238"/>
      <c r="O100" s="238"/>
      <c r="P100" s="238"/>
      <c r="Q100" s="238"/>
      <c r="R100" s="238"/>
      <c r="S100" s="238"/>
      <c r="T100" s="251"/>
      <c r="U100" s="259"/>
      <c r="V100" s="227"/>
      <c r="W100" s="229"/>
      <c r="X100" s="227"/>
      <c r="Y100" s="227"/>
      <c r="Z100" s="232"/>
      <c r="AA100" s="232"/>
    </row>
    <row r="101" spans="1:28" x14ac:dyDescent="0.25">
      <c r="A101" s="152" t="s">
        <v>100</v>
      </c>
      <c r="B101" s="153" t="s">
        <v>70</v>
      </c>
      <c r="E101" s="154"/>
      <c r="F101" s="155"/>
      <c r="G101" s="154"/>
      <c r="H101" s="156"/>
      <c r="I101" s="34" t="e">
        <f>#REF!+#REF!+#REF!+#REF!+#REF!</f>
        <v>#REF!</v>
      </c>
      <c r="J101" s="35">
        <f>SUM('DSPR- J'!G96,'DSPR-L'!G107,'HEKS-L'!G103,'IOCC-J'!G106,'IOCC-L'!G65,'IOCC-S'!G101,'LWF-J'!G109,'LWF-S'!G98,'MECC-L'!G100,'MECC-S'!G103)</f>
        <v>1091965.4467817796</v>
      </c>
      <c r="K101" s="239"/>
      <c r="L101" s="239"/>
      <c r="M101" s="239"/>
      <c r="N101" s="239"/>
      <c r="O101" s="239"/>
      <c r="P101" s="239"/>
      <c r="Q101" s="239"/>
      <c r="R101" s="239"/>
      <c r="S101" s="239"/>
      <c r="T101" s="250"/>
      <c r="U101" s="261"/>
      <c r="V101" s="222" t="e">
        <f t="shared" si="0"/>
        <v>#REF!</v>
      </c>
      <c r="W101" s="228" t="e">
        <f t="shared" si="1"/>
        <v>#REF!</v>
      </c>
      <c r="X101" s="222">
        <f>U101*C4</f>
        <v>0</v>
      </c>
      <c r="Y101" s="222">
        <f t="shared" si="2"/>
        <v>-1091965.4467817796</v>
      </c>
      <c r="Z101" s="231">
        <f t="shared" si="3"/>
        <v>-1</v>
      </c>
      <c r="AA101" s="231"/>
    </row>
    <row r="102" spans="1:28" x14ac:dyDescent="0.25">
      <c r="A102" s="152" t="s">
        <v>101</v>
      </c>
      <c r="B102" s="153" t="s">
        <v>59</v>
      </c>
      <c r="E102" s="154"/>
      <c r="F102" s="155"/>
      <c r="G102" s="154"/>
      <c r="H102" s="156"/>
      <c r="I102" s="34" t="e">
        <f>#REF!+#REF!+#REF!+#REF!+#REF!</f>
        <v>#REF!</v>
      </c>
      <c r="J102" s="35">
        <f>SUM('DSPR- J'!G102,'DSPR-L'!G113,'HEKS-L'!G109,'IOCC-J'!G111,'IOCC-L'!G67,'IOCC-S'!G107,'LWF-J'!G115,'LWF-S'!G104,'MECC-L'!G106,'MECC-S'!G109)</f>
        <v>299200.95478514169</v>
      </c>
      <c r="K102" s="239"/>
      <c r="L102" s="239"/>
      <c r="M102" s="239"/>
      <c r="N102" s="239"/>
      <c r="O102" s="239"/>
      <c r="P102" s="239"/>
      <c r="Q102" s="239"/>
      <c r="R102" s="239"/>
      <c r="S102" s="239"/>
      <c r="T102" s="250"/>
      <c r="U102" s="261"/>
      <c r="V102" s="222" t="e">
        <f t="shared" si="0"/>
        <v>#REF!</v>
      </c>
      <c r="W102" s="228" t="e">
        <f t="shared" si="1"/>
        <v>#REF!</v>
      </c>
      <c r="X102" s="222">
        <f>U102*C4</f>
        <v>0</v>
      </c>
      <c r="Y102" s="222">
        <f t="shared" si="2"/>
        <v>-299200.95478514169</v>
      </c>
      <c r="Z102" s="231">
        <f t="shared" si="3"/>
        <v>-1</v>
      </c>
      <c r="AA102" s="231"/>
      <c r="AB102" s="81"/>
    </row>
    <row r="103" spans="1:28" x14ac:dyDescent="0.25">
      <c r="A103" s="152" t="s">
        <v>102</v>
      </c>
      <c r="B103" s="153" t="s">
        <v>71</v>
      </c>
      <c r="E103" s="154"/>
      <c r="F103" s="155"/>
      <c r="G103" s="154"/>
      <c r="H103" s="156"/>
      <c r="I103" s="34" t="e">
        <f>#REF!+#REF!+#REF!+#REF!+#REF!</f>
        <v>#REF!</v>
      </c>
      <c r="J103" s="35">
        <f>SUM('DSPR- J'!G108,'DSPR-L'!G119,'HEKS-L'!G115,'IOCC-J'!G117,'IOCC-L'!G69,'IOCC-S'!G109,'LWF-J'!G121,'LWF-S'!G107,'MECC-L'!G112,'MECC-S'!G115)</f>
        <v>532343.71912500006</v>
      </c>
      <c r="K103" s="239"/>
      <c r="L103" s="239"/>
      <c r="M103" s="239"/>
      <c r="N103" s="239"/>
      <c r="O103" s="239"/>
      <c r="P103" s="239"/>
      <c r="Q103" s="239"/>
      <c r="R103" s="239"/>
      <c r="S103" s="239"/>
      <c r="T103" s="250"/>
      <c r="U103" s="261"/>
      <c r="V103" s="222" t="e">
        <f t="shared" si="0"/>
        <v>#REF!</v>
      </c>
      <c r="W103" s="228" t="e">
        <f t="shared" si="1"/>
        <v>#REF!</v>
      </c>
      <c r="X103" s="222">
        <f>U103*C4</f>
        <v>0</v>
      </c>
      <c r="Y103" s="222">
        <f t="shared" si="2"/>
        <v>-532343.71912500006</v>
      </c>
      <c r="Z103" s="231">
        <f t="shared" si="3"/>
        <v>-1</v>
      </c>
      <c r="AA103" s="231"/>
    </row>
    <row r="104" spans="1:28" x14ac:dyDescent="0.25">
      <c r="A104" s="152" t="s">
        <v>103</v>
      </c>
      <c r="B104" s="153" t="s">
        <v>72</v>
      </c>
      <c r="E104" s="154"/>
      <c r="F104" s="155"/>
      <c r="G104" s="154"/>
      <c r="H104" s="156"/>
      <c r="I104" s="34" t="e">
        <f>#REF!+#REF!+#REF!+#REF!+#REF!</f>
        <v>#REF!</v>
      </c>
      <c r="J104" s="35">
        <f>SUM('DSPR- J'!G114,'DSPR-L'!G125,'HEKS-L'!G121,'IOCC-J'!G120,'IOCC-L'!G71,'IOCC-S'!G110,'LWF-J'!G127,'LWF-S'!G112,'MECC-L'!G118,'MECC-S'!G121)</f>
        <v>421041.18644067796</v>
      </c>
      <c r="K104" s="239"/>
      <c r="L104" s="239"/>
      <c r="M104" s="239"/>
      <c r="N104" s="239"/>
      <c r="O104" s="239"/>
      <c r="P104" s="239"/>
      <c r="Q104" s="239"/>
      <c r="R104" s="239"/>
      <c r="S104" s="239"/>
      <c r="T104" s="250"/>
      <c r="U104" s="261"/>
      <c r="V104" s="222" t="e">
        <f t="shared" si="0"/>
        <v>#REF!</v>
      </c>
      <c r="W104" s="228" t="e">
        <f t="shared" si="1"/>
        <v>#REF!</v>
      </c>
      <c r="X104" s="222">
        <f>U104*C4</f>
        <v>0</v>
      </c>
      <c r="Y104" s="222">
        <f t="shared" si="2"/>
        <v>-421041.18644067796</v>
      </c>
      <c r="Z104" s="231">
        <f t="shared" si="3"/>
        <v>-1</v>
      </c>
      <c r="AA104" s="231"/>
      <c r="AB104" s="81"/>
    </row>
    <row r="105" spans="1:28" x14ac:dyDescent="0.25">
      <c r="A105" s="152" t="s">
        <v>104</v>
      </c>
      <c r="B105" s="153" t="s">
        <v>73</v>
      </c>
      <c r="E105" s="154"/>
      <c r="F105" s="155"/>
      <c r="G105" s="154"/>
      <c r="H105" s="156"/>
      <c r="I105" s="34" t="e">
        <f>#REF!+#REF!+#REF!+#REF!+#REF!</f>
        <v>#REF!</v>
      </c>
      <c r="J105" s="35">
        <f>SUM('DSPR- J'!G120,'DSPR-L'!G131,'HEKS-L'!G127,'IOCC-J'!G126,'IOCC-L'!G78,'IOCC-S'!G113,'LWF-J'!G133,'LWF-S'!G118,'MECC-L'!G124,'MECC-S'!G127)</f>
        <v>459283.568233661</v>
      </c>
      <c r="K105" s="239"/>
      <c r="L105" s="239"/>
      <c r="M105" s="239"/>
      <c r="N105" s="239"/>
      <c r="O105" s="239"/>
      <c r="P105" s="239"/>
      <c r="Q105" s="239"/>
      <c r="R105" s="239"/>
      <c r="S105" s="239"/>
      <c r="T105" s="250"/>
      <c r="U105" s="261"/>
      <c r="V105" s="222" t="e">
        <f t="shared" si="0"/>
        <v>#REF!</v>
      </c>
      <c r="W105" s="228" t="e">
        <f t="shared" si="1"/>
        <v>#REF!</v>
      </c>
      <c r="X105" s="222">
        <f>U105*C4</f>
        <v>0</v>
      </c>
      <c r="Y105" s="222">
        <f t="shared" si="2"/>
        <v>-459283.568233661</v>
      </c>
      <c r="Z105" s="231">
        <f t="shared" si="3"/>
        <v>-1</v>
      </c>
      <c r="AA105" s="231"/>
      <c r="AB105" s="81"/>
    </row>
    <row r="106" spans="1:28" x14ac:dyDescent="0.25">
      <c r="A106" s="152" t="s">
        <v>105</v>
      </c>
      <c r="B106" s="153" t="s">
        <v>58</v>
      </c>
      <c r="E106" s="154"/>
      <c r="F106" s="155"/>
      <c r="G106" s="154"/>
      <c r="H106" s="156"/>
      <c r="I106" s="34" t="e">
        <f>#REF!+#REF!+#REF!+#REF!+#REF!</f>
        <v>#REF!</v>
      </c>
      <c r="J106" s="35">
        <f>SUM('DSPR- J'!G128,'DSPR-L'!G137,'HEKS-L'!G133,'IOCC-J'!G137,'IOCC-L'!G84,'IOCC-S'!G114,'LWF-J'!G157,'LWF-S'!G124,'MECC-L'!G130,'MECC-S'!G133)</f>
        <v>1258310.4387000001</v>
      </c>
      <c r="K106" s="239"/>
      <c r="L106" s="239"/>
      <c r="M106" s="239"/>
      <c r="N106" s="239"/>
      <c r="O106" s="239"/>
      <c r="P106" s="239"/>
      <c r="Q106" s="239"/>
      <c r="R106" s="239"/>
      <c r="S106" s="239"/>
      <c r="T106" s="250"/>
      <c r="U106" s="261"/>
      <c r="V106" s="222" t="e">
        <f t="shared" si="0"/>
        <v>#REF!</v>
      </c>
      <c r="W106" s="228" t="e">
        <f t="shared" si="1"/>
        <v>#REF!</v>
      </c>
      <c r="X106" s="222">
        <f>U106*C4</f>
        <v>0</v>
      </c>
      <c r="Y106" s="222">
        <f t="shared" si="2"/>
        <v>-1258310.4387000001</v>
      </c>
      <c r="Z106" s="231">
        <f t="shared" si="3"/>
        <v>-1</v>
      </c>
      <c r="AA106" s="231"/>
      <c r="AB106" s="81"/>
    </row>
    <row r="107" spans="1:28" x14ac:dyDescent="0.25">
      <c r="A107" s="152" t="s">
        <v>106</v>
      </c>
      <c r="B107" s="153" t="s">
        <v>57</v>
      </c>
      <c r="E107" s="154"/>
      <c r="F107" s="155"/>
      <c r="G107" s="154"/>
      <c r="H107" s="156"/>
      <c r="I107" s="34" t="e">
        <f>#REF!+#REF!+#REF!+#REF!+#REF!</f>
        <v>#REF!</v>
      </c>
      <c r="J107" s="35">
        <f>SUM('DSPR- J'!G145,'DSPR-L'!G143,'HEKS-L'!G139,'IOCC-J'!G143,'IOCC-L'!G91,'IOCC-S'!G115,'LWF-J'!G164,'LWF-S'!G128,'MECC-L'!G136,'MECC-S'!G139)</f>
        <v>1547530.2452500002</v>
      </c>
      <c r="K107" s="239"/>
      <c r="L107" s="239"/>
      <c r="M107" s="239"/>
      <c r="N107" s="239"/>
      <c r="O107" s="239"/>
      <c r="P107" s="239"/>
      <c r="Q107" s="239"/>
      <c r="R107" s="239"/>
      <c r="S107" s="239"/>
      <c r="T107" s="250"/>
      <c r="U107" s="261"/>
      <c r="V107" s="222" t="e">
        <f t="shared" si="0"/>
        <v>#REF!</v>
      </c>
      <c r="W107" s="228" t="e">
        <f t="shared" si="1"/>
        <v>#REF!</v>
      </c>
      <c r="X107" s="222">
        <f>U107*C4</f>
        <v>0</v>
      </c>
      <c r="Y107" s="222">
        <f t="shared" si="2"/>
        <v>-1547530.2452500002</v>
      </c>
      <c r="Z107" s="231">
        <f t="shared" si="3"/>
        <v>-1</v>
      </c>
      <c r="AA107" s="231"/>
      <c r="AB107" s="81"/>
    </row>
    <row r="108" spans="1:28" x14ac:dyDescent="0.25">
      <c r="A108" s="152" t="s">
        <v>107</v>
      </c>
      <c r="B108" s="153" t="s">
        <v>74</v>
      </c>
      <c r="E108" s="154"/>
      <c r="F108" s="155"/>
      <c r="G108" s="154"/>
      <c r="H108" s="156"/>
      <c r="I108" s="34" t="e">
        <f>#REF!+#REF!+#REF!+#REF!+#REF!</f>
        <v>#REF!</v>
      </c>
      <c r="J108" s="35">
        <f>SUM('DSPR- J'!G152,'DSPR-L'!G150,'HEKS-L'!G145,'IOCC-J'!G146,'IOCC-L'!G97,'IOCC-S'!G118,'LWF-J'!G170,'LWF-S'!G131,'MECC-L'!G142,'MECC-S'!G145)</f>
        <v>11280</v>
      </c>
      <c r="K108" s="239"/>
      <c r="L108" s="239"/>
      <c r="M108" s="239"/>
      <c r="N108" s="239"/>
      <c r="O108" s="239"/>
      <c r="P108" s="239"/>
      <c r="Q108" s="239"/>
      <c r="R108" s="239"/>
      <c r="S108" s="239"/>
      <c r="T108" s="250"/>
      <c r="U108" s="261"/>
      <c r="V108" s="222" t="e">
        <f t="shared" si="0"/>
        <v>#REF!</v>
      </c>
      <c r="W108" s="228" t="e">
        <f t="shared" si="1"/>
        <v>#REF!</v>
      </c>
      <c r="X108" s="222">
        <f>U108*C4</f>
        <v>0</v>
      </c>
      <c r="Y108" s="222">
        <f t="shared" si="2"/>
        <v>-11280</v>
      </c>
      <c r="Z108" s="231">
        <f t="shared" si="3"/>
        <v>-1</v>
      </c>
      <c r="AA108" s="231"/>
    </row>
    <row r="109" spans="1:28" x14ac:dyDescent="0.25">
      <c r="A109" s="157" t="s">
        <v>108</v>
      </c>
      <c r="B109" s="144" t="s">
        <v>75</v>
      </c>
      <c r="E109" s="154"/>
      <c r="F109" s="155"/>
      <c r="G109" s="154"/>
      <c r="H109" s="156"/>
      <c r="I109" s="34" t="e">
        <f>#REF!+#REF!+#REF!+#REF!+#REF!</f>
        <v>#REF!</v>
      </c>
      <c r="J109" s="35">
        <f>SUM('DSPR- J'!G158,'DSPR-L'!G156,'HEKS-L'!G151,'IOCC-J'!G152,'IOCC-L'!G103,'IOCC-S'!G119,'LWF-J'!G176,'LWF-S'!G137,'MECC-L'!G148,'MECC-S'!G151)</f>
        <v>0</v>
      </c>
      <c r="K109" s="239"/>
      <c r="L109" s="239"/>
      <c r="M109" s="239"/>
      <c r="N109" s="239"/>
      <c r="O109" s="239"/>
      <c r="P109" s="239"/>
      <c r="Q109" s="239"/>
      <c r="R109" s="239"/>
      <c r="S109" s="239"/>
      <c r="T109" s="250"/>
      <c r="U109" s="261"/>
      <c r="V109" s="222" t="e">
        <f t="shared" si="0"/>
        <v>#REF!</v>
      </c>
      <c r="W109" s="228" t="e">
        <f t="shared" si="1"/>
        <v>#REF!</v>
      </c>
      <c r="X109" s="222">
        <f>U109*C4</f>
        <v>0</v>
      </c>
      <c r="Y109" s="222">
        <f t="shared" si="2"/>
        <v>0</v>
      </c>
      <c r="Z109" s="231">
        <f t="shared" si="3"/>
        <v>0</v>
      </c>
      <c r="AA109" s="231"/>
    </row>
    <row r="110" spans="1:28" x14ac:dyDescent="0.25">
      <c r="A110" s="152" t="s">
        <v>109</v>
      </c>
      <c r="B110" s="153" t="s">
        <v>76</v>
      </c>
      <c r="E110" s="154"/>
      <c r="F110" s="155"/>
      <c r="G110" s="154"/>
      <c r="H110" s="156"/>
      <c r="I110" s="34" t="e">
        <f>#REF!+#REF!+#REF!+#REF!+#REF!</f>
        <v>#REF!</v>
      </c>
      <c r="J110" s="35">
        <f>SUM('DSPR- J'!G164,'DSPR-L'!G162,'HEKS-L'!G157,'IOCC-J'!G158,'IOCC-L'!G109,'IOCC-S'!G120,'LWF-J'!G182,'LWF-S'!G143,'MECC-L'!G154,'MECC-S'!G157)</f>
        <v>0</v>
      </c>
      <c r="K110" s="239"/>
      <c r="L110" s="239"/>
      <c r="M110" s="239"/>
      <c r="N110" s="239"/>
      <c r="O110" s="239"/>
      <c r="P110" s="239"/>
      <c r="Q110" s="239"/>
      <c r="R110" s="239"/>
      <c r="S110" s="239"/>
      <c r="T110" s="250"/>
      <c r="U110" s="261"/>
      <c r="V110" s="222" t="e">
        <f t="shared" si="0"/>
        <v>#REF!</v>
      </c>
      <c r="W110" s="228" t="e">
        <f t="shared" si="1"/>
        <v>#REF!</v>
      </c>
      <c r="X110" s="222">
        <f>U110*C4</f>
        <v>0</v>
      </c>
      <c r="Y110" s="222">
        <f t="shared" si="2"/>
        <v>0</v>
      </c>
      <c r="Z110" s="231">
        <f t="shared" si="3"/>
        <v>0</v>
      </c>
      <c r="AA110" s="231"/>
    </row>
    <row r="111" spans="1:28" x14ac:dyDescent="0.25">
      <c r="B111" s="153"/>
      <c r="E111" s="158"/>
      <c r="F111" s="159"/>
      <c r="G111" s="158"/>
      <c r="H111" s="160"/>
      <c r="I111" s="34"/>
      <c r="K111" s="239"/>
      <c r="L111" s="239"/>
      <c r="M111" s="239"/>
      <c r="N111" s="239"/>
      <c r="O111" s="239"/>
      <c r="P111" s="239"/>
      <c r="Q111" s="239"/>
      <c r="R111" s="239"/>
      <c r="S111" s="239"/>
      <c r="T111" s="250"/>
      <c r="U111" s="256"/>
      <c r="V111" s="222"/>
      <c r="W111" s="228"/>
      <c r="X111" s="222"/>
      <c r="Y111" s="222"/>
      <c r="Z111" s="231"/>
      <c r="AA111" s="231"/>
    </row>
    <row r="112" spans="1:28" ht="13.8" thickBot="1" x14ac:dyDescent="0.3">
      <c r="A112" s="103"/>
      <c r="B112" s="150" t="s">
        <v>130</v>
      </c>
      <c r="E112" s="126"/>
      <c r="F112" s="122"/>
      <c r="G112" s="126"/>
      <c r="H112" s="127"/>
      <c r="I112" s="36" t="e">
        <f>#REF!+#REF!+#REF!+#REF!+#REF!</f>
        <v>#REF!</v>
      </c>
      <c r="J112" s="36">
        <f>SUM('DSPR- J'!G171,'DSPR-L'!G169,'HEKS-L'!G164,'IOCC-J'!G165,'IOCC-L'!G116,'IOCC-S'!G122,'LWF-J'!G189,'LWF-S'!G150,'MECC-L'!G161,'MECC-S'!G164)</f>
        <v>5620955.5593162607</v>
      </c>
      <c r="K112" s="241"/>
      <c r="L112" s="241"/>
      <c r="M112" s="241"/>
      <c r="N112" s="241"/>
      <c r="O112" s="241"/>
      <c r="P112" s="241"/>
      <c r="Q112" s="241"/>
      <c r="R112" s="241"/>
      <c r="S112" s="241"/>
      <c r="T112" s="252"/>
      <c r="U112" s="262"/>
      <c r="V112" s="222" t="e">
        <f t="shared" si="0"/>
        <v>#REF!</v>
      </c>
      <c r="W112" s="228" t="e">
        <f t="shared" si="1"/>
        <v>#REF!</v>
      </c>
      <c r="X112" s="222">
        <f>U112*C4</f>
        <v>0</v>
      </c>
      <c r="Y112" s="222">
        <f t="shared" si="2"/>
        <v>-5620955.5593162607</v>
      </c>
      <c r="Z112" s="231">
        <f t="shared" si="3"/>
        <v>-1</v>
      </c>
      <c r="AA112" s="231"/>
    </row>
    <row r="113" spans="1:27" ht="13.8" thickTop="1" x14ac:dyDescent="0.25">
      <c r="E113" s="75"/>
      <c r="F113" s="84"/>
      <c r="G113" s="75"/>
      <c r="H113" s="76"/>
      <c r="J113" s="34"/>
      <c r="K113" s="242"/>
      <c r="L113" s="242"/>
      <c r="M113" s="242"/>
      <c r="N113" s="242"/>
      <c r="O113" s="242"/>
      <c r="P113" s="242"/>
      <c r="Q113" s="242"/>
      <c r="R113" s="242"/>
      <c r="S113" s="242"/>
      <c r="T113" s="253"/>
      <c r="U113" s="260"/>
      <c r="V113" s="222"/>
      <c r="W113" s="228"/>
      <c r="X113" s="222"/>
      <c r="Y113" s="222"/>
      <c r="Z113" s="231"/>
      <c r="AA113" s="231"/>
    </row>
    <row r="114" spans="1:27" x14ac:dyDescent="0.25">
      <c r="A114" s="129">
        <v>3</v>
      </c>
      <c r="B114" s="130" t="s">
        <v>133</v>
      </c>
      <c r="C114" s="131"/>
      <c r="D114" s="132"/>
      <c r="E114" s="133"/>
      <c r="F114" s="134"/>
      <c r="G114" s="133"/>
      <c r="H114" s="135"/>
      <c r="I114" s="135"/>
      <c r="J114" s="151"/>
      <c r="K114" s="238"/>
      <c r="L114" s="238"/>
      <c r="M114" s="238"/>
      <c r="N114" s="238"/>
      <c r="O114" s="238"/>
      <c r="P114" s="238"/>
      <c r="Q114" s="238"/>
      <c r="R114" s="238"/>
      <c r="S114" s="238"/>
      <c r="T114" s="251"/>
      <c r="U114" s="259"/>
      <c r="V114" s="227"/>
      <c r="W114" s="229"/>
      <c r="X114" s="227"/>
      <c r="Y114" s="227"/>
      <c r="Z114" s="232"/>
      <c r="AA114" s="232"/>
    </row>
    <row r="115" spans="1:27" hidden="1" x14ac:dyDescent="0.25">
      <c r="A115" s="161" t="s">
        <v>138</v>
      </c>
      <c r="B115" s="144" t="s">
        <v>116</v>
      </c>
      <c r="E115" s="138"/>
      <c r="F115" s="116"/>
      <c r="G115" s="138"/>
      <c r="H115" s="112"/>
      <c r="I115" s="3">
        <f t="shared" ref="I115:I121" si="7">G115*H115</f>
        <v>0</v>
      </c>
      <c r="J115" s="37">
        <f>I115*C4</f>
        <v>0</v>
      </c>
      <c r="K115" s="239"/>
      <c r="L115" s="239"/>
      <c r="M115" s="239"/>
      <c r="N115" s="239"/>
      <c r="O115" s="239"/>
      <c r="P115" s="239"/>
      <c r="Q115" s="239"/>
      <c r="R115" s="239"/>
      <c r="S115" s="239"/>
      <c r="T115" s="250"/>
      <c r="U115" s="255"/>
      <c r="V115" s="222">
        <f t="shared" si="0"/>
        <v>0</v>
      </c>
      <c r="W115" s="228">
        <f t="shared" si="1"/>
        <v>0</v>
      </c>
      <c r="X115" s="222">
        <f t="shared" si="5"/>
        <v>0</v>
      </c>
      <c r="Y115" s="222">
        <f t="shared" si="2"/>
        <v>0</v>
      </c>
      <c r="Z115" s="231">
        <f t="shared" si="3"/>
        <v>0</v>
      </c>
      <c r="AA115" s="231"/>
    </row>
    <row r="116" spans="1:27" hidden="1" x14ac:dyDescent="0.25">
      <c r="A116" s="161" t="s">
        <v>139</v>
      </c>
      <c r="B116" s="144" t="s">
        <v>52</v>
      </c>
      <c r="E116" s="138"/>
      <c r="F116" s="116"/>
      <c r="G116" s="138"/>
      <c r="H116" s="112"/>
      <c r="I116" s="3">
        <f t="shared" si="7"/>
        <v>0</v>
      </c>
      <c r="J116" s="37">
        <f>I116*C4</f>
        <v>0</v>
      </c>
      <c r="K116" s="239"/>
      <c r="L116" s="239"/>
      <c r="M116" s="239"/>
      <c r="N116" s="239"/>
      <c r="O116" s="239"/>
      <c r="P116" s="239"/>
      <c r="Q116" s="239"/>
      <c r="R116" s="239"/>
      <c r="S116" s="239"/>
      <c r="T116" s="250"/>
      <c r="U116" s="255"/>
      <c r="V116" s="222">
        <f t="shared" si="0"/>
        <v>0</v>
      </c>
      <c r="W116" s="228">
        <f t="shared" si="1"/>
        <v>0</v>
      </c>
      <c r="X116" s="222">
        <f t="shared" si="5"/>
        <v>0</v>
      </c>
      <c r="Y116" s="222">
        <f t="shared" si="2"/>
        <v>0</v>
      </c>
      <c r="Z116" s="231">
        <f t="shared" si="3"/>
        <v>0</v>
      </c>
      <c r="AA116" s="231"/>
    </row>
    <row r="117" spans="1:27" hidden="1" x14ac:dyDescent="0.25">
      <c r="A117" s="161" t="s">
        <v>140</v>
      </c>
      <c r="B117" s="144" t="s">
        <v>112</v>
      </c>
      <c r="E117" s="162"/>
      <c r="F117" s="163"/>
      <c r="G117" s="162"/>
      <c r="H117" s="164"/>
      <c r="I117" s="3">
        <f t="shared" si="7"/>
        <v>0</v>
      </c>
      <c r="J117" s="37">
        <f>I117*C4</f>
        <v>0</v>
      </c>
      <c r="K117" s="239"/>
      <c r="L117" s="239"/>
      <c r="M117" s="239"/>
      <c r="N117" s="239"/>
      <c r="O117" s="239"/>
      <c r="P117" s="239"/>
      <c r="Q117" s="239"/>
      <c r="R117" s="239"/>
      <c r="S117" s="239"/>
      <c r="T117" s="250"/>
      <c r="U117" s="255"/>
      <c r="V117" s="222">
        <f t="shared" si="0"/>
        <v>0</v>
      </c>
      <c r="W117" s="228">
        <f t="shared" si="1"/>
        <v>0</v>
      </c>
      <c r="X117" s="222">
        <f t="shared" si="5"/>
        <v>0</v>
      </c>
      <c r="Y117" s="222">
        <f t="shared" si="2"/>
        <v>0</v>
      </c>
      <c r="Z117" s="231">
        <f t="shared" si="3"/>
        <v>0</v>
      </c>
      <c r="AA117" s="231"/>
    </row>
    <row r="118" spans="1:27" hidden="1" x14ac:dyDescent="0.25">
      <c r="A118" s="161" t="s">
        <v>141</v>
      </c>
      <c r="B118" s="144" t="s">
        <v>146</v>
      </c>
      <c r="E118" s="162"/>
      <c r="F118" s="163"/>
      <c r="G118" s="162"/>
      <c r="H118" s="164"/>
      <c r="I118" s="3">
        <f t="shared" si="7"/>
        <v>0</v>
      </c>
      <c r="J118" s="37">
        <f>I118*C4</f>
        <v>0</v>
      </c>
      <c r="K118" s="239"/>
      <c r="L118" s="239"/>
      <c r="M118" s="239"/>
      <c r="N118" s="239"/>
      <c r="O118" s="239"/>
      <c r="P118" s="239"/>
      <c r="Q118" s="239"/>
      <c r="R118" s="239"/>
      <c r="S118" s="239"/>
      <c r="T118" s="250"/>
      <c r="U118" s="255"/>
      <c r="V118" s="222">
        <f t="shared" si="0"/>
        <v>0</v>
      </c>
      <c r="W118" s="228">
        <f t="shared" si="1"/>
        <v>0</v>
      </c>
      <c r="X118" s="222">
        <f t="shared" si="5"/>
        <v>0</v>
      </c>
      <c r="Y118" s="222">
        <f t="shared" si="2"/>
        <v>0</v>
      </c>
      <c r="Z118" s="231">
        <f t="shared" si="3"/>
        <v>0</v>
      </c>
      <c r="AA118" s="231"/>
    </row>
    <row r="119" spans="1:27" ht="15" hidden="1" customHeight="1" x14ac:dyDescent="0.25">
      <c r="A119" s="161" t="s">
        <v>142</v>
      </c>
      <c r="B119" s="144" t="s">
        <v>147</v>
      </c>
      <c r="E119" s="162"/>
      <c r="F119" s="163"/>
      <c r="G119" s="162"/>
      <c r="H119" s="164"/>
      <c r="I119" s="3">
        <f t="shared" si="7"/>
        <v>0</v>
      </c>
      <c r="J119" s="37">
        <f>I119*C4</f>
        <v>0</v>
      </c>
      <c r="K119" s="239"/>
      <c r="L119" s="239"/>
      <c r="M119" s="239"/>
      <c r="N119" s="239"/>
      <c r="O119" s="239"/>
      <c r="P119" s="239"/>
      <c r="Q119" s="239"/>
      <c r="R119" s="239"/>
      <c r="S119" s="239"/>
      <c r="T119" s="250"/>
      <c r="U119" s="255"/>
      <c r="V119" s="222">
        <f t="shared" si="0"/>
        <v>0</v>
      </c>
      <c r="W119" s="228">
        <f t="shared" si="1"/>
        <v>0</v>
      </c>
      <c r="X119" s="222">
        <f t="shared" si="5"/>
        <v>0</v>
      </c>
      <c r="Y119" s="222">
        <f t="shared" si="2"/>
        <v>0</v>
      </c>
      <c r="Z119" s="231">
        <f t="shared" si="3"/>
        <v>0</v>
      </c>
      <c r="AA119" s="231"/>
    </row>
    <row r="120" spans="1:27" hidden="1" x14ac:dyDescent="0.25">
      <c r="A120" s="161" t="s">
        <v>143</v>
      </c>
      <c r="B120" s="144" t="s">
        <v>145</v>
      </c>
      <c r="E120" s="162"/>
      <c r="F120" s="163"/>
      <c r="G120" s="162"/>
      <c r="H120" s="164"/>
      <c r="I120" s="3">
        <f t="shared" si="7"/>
        <v>0</v>
      </c>
      <c r="J120" s="37">
        <f>I120*C4</f>
        <v>0</v>
      </c>
      <c r="K120" s="239"/>
      <c r="L120" s="239"/>
      <c r="M120" s="239"/>
      <c r="N120" s="239"/>
      <c r="O120" s="239"/>
      <c r="P120" s="239"/>
      <c r="Q120" s="239"/>
      <c r="R120" s="239"/>
      <c r="S120" s="239"/>
      <c r="T120" s="250"/>
      <c r="U120" s="255"/>
      <c r="V120" s="222">
        <f t="shared" si="0"/>
        <v>0</v>
      </c>
      <c r="W120" s="228">
        <f t="shared" si="1"/>
        <v>0</v>
      </c>
      <c r="X120" s="222">
        <f t="shared" si="5"/>
        <v>0</v>
      </c>
      <c r="Y120" s="222">
        <f t="shared" si="2"/>
        <v>0</v>
      </c>
      <c r="Z120" s="231">
        <f t="shared" si="3"/>
        <v>0</v>
      </c>
      <c r="AA120" s="231"/>
    </row>
    <row r="121" spans="1:27" hidden="1" x14ac:dyDescent="0.25">
      <c r="A121" s="161" t="s">
        <v>144</v>
      </c>
      <c r="B121" s="144" t="s">
        <v>171</v>
      </c>
      <c r="E121" s="162"/>
      <c r="F121" s="163"/>
      <c r="G121" s="162"/>
      <c r="H121" s="164"/>
      <c r="I121" s="3">
        <f t="shared" si="7"/>
        <v>0</v>
      </c>
      <c r="J121" s="37">
        <f>I121*C4</f>
        <v>0</v>
      </c>
      <c r="K121" s="239"/>
      <c r="L121" s="239"/>
      <c r="M121" s="239"/>
      <c r="N121" s="239"/>
      <c r="O121" s="239"/>
      <c r="P121" s="239"/>
      <c r="Q121" s="239"/>
      <c r="R121" s="239"/>
      <c r="S121" s="239"/>
      <c r="T121" s="250"/>
      <c r="U121" s="255"/>
      <c r="V121" s="222">
        <f t="shared" si="0"/>
        <v>0</v>
      </c>
      <c r="W121" s="228">
        <f t="shared" si="1"/>
        <v>0</v>
      </c>
      <c r="X121" s="222">
        <f t="shared" si="5"/>
        <v>0</v>
      </c>
      <c r="Y121" s="222">
        <f t="shared" si="2"/>
        <v>0</v>
      </c>
      <c r="Z121" s="231">
        <f t="shared" si="3"/>
        <v>0</v>
      </c>
      <c r="AA121" s="231"/>
    </row>
    <row r="122" spans="1:27" hidden="1" x14ac:dyDescent="0.25">
      <c r="B122" s="113"/>
      <c r="E122" s="75"/>
      <c r="F122" s="84"/>
      <c r="G122" s="75"/>
      <c r="H122" s="76"/>
      <c r="J122" s="34"/>
      <c r="K122" s="242"/>
      <c r="L122" s="242"/>
      <c r="M122" s="242"/>
      <c r="N122" s="242"/>
      <c r="O122" s="242"/>
      <c r="P122" s="242"/>
      <c r="Q122" s="242"/>
      <c r="R122" s="242"/>
      <c r="S122" s="242"/>
      <c r="T122" s="253"/>
      <c r="U122" s="260"/>
      <c r="V122" s="222">
        <f t="shared" si="0"/>
        <v>0</v>
      </c>
      <c r="W122" s="228">
        <f t="shared" si="1"/>
        <v>0</v>
      </c>
      <c r="X122" s="222">
        <f t="shared" si="5"/>
        <v>0</v>
      </c>
      <c r="Y122" s="222">
        <f t="shared" si="2"/>
        <v>0</v>
      </c>
      <c r="Z122" s="231">
        <f t="shared" si="3"/>
        <v>0</v>
      </c>
      <c r="AA122" s="231"/>
    </row>
    <row r="123" spans="1:27" ht="13.8" thickBot="1" x14ac:dyDescent="0.3">
      <c r="A123" s="103"/>
      <c r="B123" s="150" t="s">
        <v>114</v>
      </c>
      <c r="E123" s="126"/>
      <c r="F123" s="122"/>
      <c r="G123" s="126"/>
      <c r="H123" s="127"/>
      <c r="I123" s="36" t="e">
        <f>#REF!+#REF!+#REF!+#REF!+#REF!</f>
        <v>#REF!</v>
      </c>
      <c r="J123" s="36">
        <f>SUM('DSPR- J'!G182,'DSPR-L'!G183,'HEKS-L'!G178,'IOCC-J'!G180,'IOCC-L'!G130,'IOCC-S'!G136,'LWF-J'!G202,'LWF-S'!G164,'MECC-L'!G173,'MECC-S'!G176)</f>
        <v>206957.77039548024</v>
      </c>
      <c r="K123" s="241"/>
      <c r="L123" s="241"/>
      <c r="M123" s="241"/>
      <c r="N123" s="241"/>
      <c r="O123" s="241"/>
      <c r="P123" s="241"/>
      <c r="Q123" s="241"/>
      <c r="R123" s="241"/>
      <c r="S123" s="241"/>
      <c r="T123" s="252"/>
      <c r="U123" s="262"/>
      <c r="V123" s="222" t="e">
        <f t="shared" si="0"/>
        <v>#REF!</v>
      </c>
      <c r="W123" s="228" t="e">
        <f t="shared" si="1"/>
        <v>#REF!</v>
      </c>
      <c r="X123" s="222">
        <f>U123*C4</f>
        <v>0</v>
      </c>
      <c r="Y123" s="222">
        <f t="shared" si="2"/>
        <v>-206957.77039548024</v>
      </c>
      <c r="Z123" s="231">
        <f t="shared" si="3"/>
        <v>-1</v>
      </c>
      <c r="AA123" s="231"/>
    </row>
    <row r="124" spans="1:27" ht="13.8" thickTop="1" x14ac:dyDescent="0.25">
      <c r="B124" s="81"/>
      <c r="E124" s="165"/>
      <c r="F124" s="166"/>
      <c r="G124" s="165"/>
      <c r="H124" s="78"/>
      <c r="I124" s="34"/>
      <c r="J124" s="1"/>
      <c r="K124" s="239"/>
      <c r="L124" s="239"/>
      <c r="M124" s="239"/>
      <c r="N124" s="239"/>
      <c r="O124" s="239"/>
      <c r="P124" s="239"/>
      <c r="Q124" s="239"/>
      <c r="R124" s="239"/>
      <c r="S124" s="239"/>
      <c r="T124" s="250"/>
      <c r="U124" s="256"/>
      <c r="V124" s="222"/>
      <c r="W124" s="228"/>
      <c r="X124" s="222"/>
      <c r="Y124" s="222"/>
      <c r="Z124" s="231"/>
      <c r="AA124" s="231"/>
    </row>
    <row r="125" spans="1:27" x14ac:dyDescent="0.25">
      <c r="A125" s="129">
        <v>4</v>
      </c>
      <c r="B125" s="130" t="s">
        <v>113</v>
      </c>
      <c r="C125" s="131"/>
      <c r="D125" s="132"/>
      <c r="E125" s="133"/>
      <c r="F125" s="134"/>
      <c r="G125" s="133"/>
      <c r="H125" s="135"/>
      <c r="I125" s="135"/>
      <c r="J125" s="151"/>
      <c r="K125" s="238"/>
      <c r="L125" s="238"/>
      <c r="M125" s="238"/>
      <c r="N125" s="238"/>
      <c r="O125" s="238"/>
      <c r="P125" s="238"/>
      <c r="Q125" s="238"/>
      <c r="R125" s="238"/>
      <c r="S125" s="238"/>
      <c r="T125" s="251"/>
      <c r="U125" s="259"/>
      <c r="V125" s="227"/>
      <c r="W125" s="229"/>
      <c r="X125" s="227"/>
      <c r="Y125" s="227"/>
      <c r="Z125" s="232"/>
      <c r="AA125" s="232"/>
    </row>
    <row r="126" spans="1:27" x14ac:dyDescent="0.25">
      <c r="A126" s="81" t="s">
        <v>19</v>
      </c>
      <c r="B126" s="81"/>
      <c r="E126" s="165"/>
      <c r="F126" s="166"/>
      <c r="G126" s="165"/>
      <c r="H126" s="78"/>
      <c r="I126" s="34" t="e">
        <f>#REF!+#REF!+#REF!+#REF!+#REF!</f>
        <v>#REF!</v>
      </c>
      <c r="J126" s="1">
        <f>SUM('DSPR- J'!G186:G187,'DSPR-L'!G187:G188,'HEKS-L'!G182:G183,'IOCC-J'!G184:G185,'IOCC-L'!G134:G135,'IOCC-S'!G140:G141,'LWF-J'!G206:G207,'LWF-S'!G168:G169,'MECC-L'!G177:G178,'MECC-S'!G180:G181)</f>
        <v>142411.06898144068</v>
      </c>
      <c r="K126" s="239"/>
      <c r="L126" s="239"/>
      <c r="M126" s="239"/>
      <c r="N126" s="239"/>
      <c r="O126" s="239"/>
      <c r="P126" s="239"/>
      <c r="Q126" s="239"/>
      <c r="R126" s="239"/>
      <c r="S126" s="239"/>
      <c r="T126" s="250"/>
      <c r="U126" s="261"/>
      <c r="V126" s="222" t="e">
        <f t="shared" si="0"/>
        <v>#REF!</v>
      </c>
      <c r="W126" s="228" t="e">
        <f t="shared" si="1"/>
        <v>#REF!</v>
      </c>
      <c r="X126" s="222">
        <f>U126*C4</f>
        <v>0</v>
      </c>
      <c r="Y126" s="222">
        <f t="shared" si="2"/>
        <v>-142411.06898144068</v>
      </c>
      <c r="Z126" s="231">
        <f t="shared" si="3"/>
        <v>-1</v>
      </c>
      <c r="AA126" s="231"/>
    </row>
    <row r="127" spans="1:27" hidden="1" x14ac:dyDescent="0.25">
      <c r="A127" s="81" t="s">
        <v>148</v>
      </c>
      <c r="B127" s="167" t="s">
        <v>48</v>
      </c>
      <c r="E127" s="138"/>
      <c r="F127" s="116"/>
      <c r="G127" s="138"/>
      <c r="H127" s="112"/>
      <c r="I127" s="34">
        <f>G127*H127</f>
        <v>0</v>
      </c>
      <c r="J127" s="1">
        <f>I127*C4</f>
        <v>0</v>
      </c>
      <c r="K127" s="239"/>
      <c r="L127" s="239"/>
      <c r="M127" s="239"/>
      <c r="N127" s="239"/>
      <c r="O127" s="239"/>
      <c r="P127" s="239"/>
      <c r="Q127" s="239"/>
      <c r="R127" s="239"/>
      <c r="S127" s="239"/>
      <c r="T127" s="250"/>
      <c r="U127" s="261"/>
      <c r="V127" s="222">
        <f t="shared" si="0"/>
        <v>0</v>
      </c>
      <c r="W127" s="228">
        <f t="shared" si="1"/>
        <v>0</v>
      </c>
      <c r="X127" s="222">
        <f t="shared" si="5"/>
        <v>0</v>
      </c>
      <c r="Y127" s="222">
        <f t="shared" si="2"/>
        <v>0</v>
      </c>
      <c r="Z127" s="231">
        <f t="shared" si="3"/>
        <v>0</v>
      </c>
      <c r="AA127" s="231"/>
    </row>
    <row r="128" spans="1:27" hidden="1" x14ac:dyDescent="0.25">
      <c r="A128" s="81" t="s">
        <v>149</v>
      </c>
      <c r="B128" s="167" t="s">
        <v>49</v>
      </c>
      <c r="E128" s="138"/>
      <c r="F128" s="116"/>
      <c r="G128" s="138"/>
      <c r="H128" s="112"/>
      <c r="I128" s="34">
        <f>G128*H128</f>
        <v>0</v>
      </c>
      <c r="J128" s="1">
        <f>I128*C4</f>
        <v>0</v>
      </c>
      <c r="K128" s="239"/>
      <c r="L128" s="239"/>
      <c r="M128" s="239"/>
      <c r="N128" s="239"/>
      <c r="O128" s="239"/>
      <c r="P128" s="239"/>
      <c r="Q128" s="239"/>
      <c r="R128" s="239"/>
      <c r="S128" s="239"/>
      <c r="T128" s="250"/>
      <c r="U128" s="261"/>
      <c r="V128" s="222">
        <f t="shared" si="0"/>
        <v>0</v>
      </c>
      <c r="W128" s="228">
        <f t="shared" si="1"/>
        <v>0</v>
      </c>
      <c r="X128" s="222">
        <f t="shared" si="5"/>
        <v>0</v>
      </c>
      <c r="Y128" s="222">
        <f t="shared" si="2"/>
        <v>0</v>
      </c>
      <c r="Z128" s="231">
        <f t="shared" si="3"/>
        <v>0</v>
      </c>
      <c r="AA128" s="231"/>
    </row>
    <row r="129" spans="1:27" x14ac:dyDescent="0.25">
      <c r="A129" s="81" t="s">
        <v>7</v>
      </c>
      <c r="B129" s="141"/>
      <c r="E129" s="139"/>
      <c r="F129" s="4"/>
      <c r="G129" s="139"/>
      <c r="H129" s="3"/>
      <c r="I129" s="34" t="e">
        <f>#REF!+#REF!+#REF!+#REF!+#REF!</f>
        <v>#REF!</v>
      </c>
      <c r="J129" s="1">
        <f>SUM('DSPR- J'!G189:G190,'DSPR-L'!G190:G191,'HEKS-L'!G185:G186,'IOCC-J'!G187:G188,'IOCC-L'!G137:G138,'IOCC-S'!G143:G144,'LWF-J'!G209:G210,'LWF-S'!G171:G172,'MECC-L'!G180:G181,'MECC-S'!G183:G184)</f>
        <v>41208.185564971755</v>
      </c>
      <c r="K129" s="239"/>
      <c r="L129" s="239"/>
      <c r="M129" s="239"/>
      <c r="N129" s="239"/>
      <c r="O129" s="239"/>
      <c r="P129" s="239"/>
      <c r="Q129" s="239"/>
      <c r="R129" s="239"/>
      <c r="S129" s="239"/>
      <c r="T129" s="250"/>
      <c r="U129" s="261"/>
      <c r="V129" s="222" t="e">
        <f t="shared" si="0"/>
        <v>#REF!</v>
      </c>
      <c r="W129" s="228" t="e">
        <f t="shared" si="1"/>
        <v>#REF!</v>
      </c>
      <c r="X129" s="222">
        <f>U129*C4</f>
        <v>0</v>
      </c>
      <c r="Y129" s="222">
        <f t="shared" si="2"/>
        <v>-41208.185564971755</v>
      </c>
      <c r="Z129" s="231">
        <f t="shared" si="3"/>
        <v>-1</v>
      </c>
      <c r="AA129" s="231"/>
    </row>
    <row r="130" spans="1:27" hidden="1" x14ac:dyDescent="0.25">
      <c r="A130" s="81" t="s">
        <v>150</v>
      </c>
      <c r="B130" s="167" t="s">
        <v>50</v>
      </c>
      <c r="E130" s="164"/>
      <c r="F130" s="162"/>
      <c r="G130" s="164"/>
      <c r="H130" s="168"/>
      <c r="I130" s="34">
        <f>G130*H130</f>
        <v>0</v>
      </c>
      <c r="J130" s="35">
        <f>I130*C4</f>
        <v>0</v>
      </c>
      <c r="K130" s="239"/>
      <c r="L130" s="239"/>
      <c r="M130" s="239"/>
      <c r="N130" s="239"/>
      <c r="O130" s="239"/>
      <c r="P130" s="239"/>
      <c r="Q130" s="239"/>
      <c r="R130" s="239"/>
      <c r="S130" s="239"/>
      <c r="T130" s="250"/>
      <c r="U130" s="261"/>
      <c r="V130" s="222">
        <f t="shared" si="0"/>
        <v>0</v>
      </c>
      <c r="W130" s="228">
        <f t="shared" si="1"/>
        <v>0</v>
      </c>
      <c r="X130" s="222">
        <f t="shared" si="5"/>
        <v>0</v>
      </c>
      <c r="Y130" s="222">
        <f t="shared" si="2"/>
        <v>0</v>
      </c>
      <c r="Z130" s="231">
        <f t="shared" si="3"/>
        <v>0</v>
      </c>
      <c r="AA130" s="231"/>
    </row>
    <row r="131" spans="1:27" hidden="1" x14ac:dyDescent="0.25">
      <c r="A131" s="81" t="s">
        <v>151</v>
      </c>
      <c r="B131" s="141" t="s">
        <v>51</v>
      </c>
      <c r="E131" s="164"/>
      <c r="F131" s="162"/>
      <c r="G131" s="164"/>
      <c r="H131" s="168"/>
      <c r="I131" s="34">
        <f>G131*H131</f>
        <v>0</v>
      </c>
      <c r="J131" s="35">
        <f>I131*C4</f>
        <v>0</v>
      </c>
      <c r="K131" s="239"/>
      <c r="L131" s="239"/>
      <c r="M131" s="239"/>
      <c r="N131" s="239"/>
      <c r="O131" s="239"/>
      <c r="P131" s="239"/>
      <c r="Q131" s="239"/>
      <c r="R131" s="239"/>
      <c r="S131" s="239"/>
      <c r="T131" s="250"/>
      <c r="U131" s="261"/>
      <c r="V131" s="222">
        <f t="shared" si="0"/>
        <v>0</v>
      </c>
      <c r="W131" s="228">
        <f t="shared" si="1"/>
        <v>0</v>
      </c>
      <c r="X131" s="222">
        <f t="shared" si="5"/>
        <v>0</v>
      </c>
      <c r="Y131" s="222">
        <f t="shared" si="2"/>
        <v>0</v>
      </c>
      <c r="Z131" s="231">
        <f t="shared" si="3"/>
        <v>0</v>
      </c>
      <c r="AA131" s="231"/>
    </row>
    <row r="132" spans="1:27" x14ac:dyDescent="0.25">
      <c r="A132" s="81" t="s">
        <v>8</v>
      </c>
      <c r="B132" s="141"/>
      <c r="E132" s="123"/>
      <c r="F132" s="169"/>
      <c r="G132" s="123"/>
      <c r="H132" s="124"/>
      <c r="I132" s="34" t="e">
        <f>#REF!+#REF!+#REF!+#REF!+#REF!</f>
        <v>#REF!</v>
      </c>
      <c r="J132" s="1">
        <f>SUM('DSPR- J'!G192:G196,'DSPR-L'!G193:G197,'HEKS-L'!G188:G192,'IOCC-J'!G190:G194,'IOCC-L'!G140:G144,'IOCC-S'!G146:G150,'LWF-J'!G212:G215,'LWF-S'!G174:G178,'MECC-L'!G183:G187,'MECC-S'!G186:G190)</f>
        <v>156859.74764703389</v>
      </c>
      <c r="K132" s="239"/>
      <c r="L132" s="239"/>
      <c r="M132" s="239"/>
      <c r="N132" s="239"/>
      <c r="O132" s="239"/>
      <c r="P132" s="239"/>
      <c r="Q132" s="239"/>
      <c r="R132" s="239"/>
      <c r="S132" s="239"/>
      <c r="T132" s="250"/>
      <c r="U132" s="261"/>
      <c r="V132" s="222" t="e">
        <f t="shared" si="0"/>
        <v>#REF!</v>
      </c>
      <c r="W132" s="228" t="e">
        <f t="shared" si="1"/>
        <v>#REF!</v>
      </c>
      <c r="X132" s="222">
        <f>U132*C4</f>
        <v>0</v>
      </c>
      <c r="Y132" s="222">
        <f t="shared" si="2"/>
        <v>-156859.74764703389</v>
      </c>
      <c r="Z132" s="231">
        <f t="shared" si="3"/>
        <v>-1</v>
      </c>
      <c r="AA132" s="231"/>
    </row>
    <row r="133" spans="1:27" hidden="1" x14ac:dyDescent="0.25">
      <c r="A133" s="81" t="s">
        <v>156</v>
      </c>
      <c r="B133" s="144" t="s">
        <v>187</v>
      </c>
      <c r="E133" s="164"/>
      <c r="F133" s="162"/>
      <c r="G133" s="164"/>
      <c r="H133" s="168"/>
      <c r="I133" s="34">
        <f>G133*H133</f>
        <v>0</v>
      </c>
      <c r="J133" s="1">
        <f>I133*C4</f>
        <v>0</v>
      </c>
      <c r="K133" s="239"/>
      <c r="L133" s="239"/>
      <c r="M133" s="239"/>
      <c r="N133" s="239"/>
      <c r="O133" s="239"/>
      <c r="P133" s="239"/>
      <c r="Q133" s="239"/>
      <c r="R133" s="239"/>
      <c r="S133" s="239"/>
      <c r="T133" s="250"/>
      <c r="U133" s="256"/>
      <c r="V133" s="222">
        <f t="shared" si="0"/>
        <v>0</v>
      </c>
      <c r="W133" s="228">
        <f t="shared" si="1"/>
        <v>0</v>
      </c>
      <c r="X133" s="222">
        <f t="shared" si="5"/>
        <v>0</v>
      </c>
      <c r="Y133" s="222">
        <f t="shared" si="2"/>
        <v>0</v>
      </c>
      <c r="Z133" s="231">
        <f t="shared" si="3"/>
        <v>0</v>
      </c>
      <c r="AA133" s="231"/>
    </row>
    <row r="134" spans="1:27" hidden="1" x14ac:dyDescent="0.25">
      <c r="A134" s="81" t="s">
        <v>152</v>
      </c>
      <c r="B134" s="153" t="s">
        <v>54</v>
      </c>
      <c r="E134" s="164"/>
      <c r="F134" s="162"/>
      <c r="G134" s="164"/>
      <c r="H134" s="168"/>
      <c r="I134" s="34">
        <f>G134*H134</f>
        <v>0</v>
      </c>
      <c r="J134" s="1">
        <f>I134*C4</f>
        <v>0</v>
      </c>
      <c r="K134" s="239"/>
      <c r="L134" s="239"/>
      <c r="M134" s="239"/>
      <c r="N134" s="239"/>
      <c r="O134" s="239"/>
      <c r="P134" s="239"/>
      <c r="Q134" s="239"/>
      <c r="R134" s="239"/>
      <c r="S134" s="239"/>
      <c r="T134" s="250"/>
      <c r="U134" s="256"/>
      <c r="V134" s="222">
        <f t="shared" si="0"/>
        <v>0</v>
      </c>
      <c r="W134" s="228">
        <f t="shared" si="1"/>
        <v>0</v>
      </c>
      <c r="X134" s="222">
        <f t="shared" si="5"/>
        <v>0</v>
      </c>
      <c r="Y134" s="222">
        <f t="shared" si="2"/>
        <v>0</v>
      </c>
      <c r="Z134" s="231">
        <f t="shared" si="3"/>
        <v>0</v>
      </c>
      <c r="AA134" s="231"/>
    </row>
    <row r="135" spans="1:27" hidden="1" x14ac:dyDescent="0.25">
      <c r="A135" s="81" t="s">
        <v>153</v>
      </c>
      <c r="B135" s="153" t="s">
        <v>55</v>
      </c>
      <c r="E135" s="164"/>
      <c r="F135" s="162"/>
      <c r="G135" s="164"/>
      <c r="H135" s="170"/>
      <c r="I135" s="34">
        <f>G135*H135</f>
        <v>0</v>
      </c>
      <c r="J135" s="1">
        <f>I135*C4</f>
        <v>0</v>
      </c>
      <c r="K135" s="239"/>
      <c r="L135" s="239"/>
      <c r="M135" s="239"/>
      <c r="N135" s="239"/>
      <c r="O135" s="239"/>
      <c r="P135" s="239"/>
      <c r="Q135" s="239"/>
      <c r="R135" s="239"/>
      <c r="S135" s="239"/>
      <c r="T135" s="250"/>
      <c r="U135" s="256"/>
      <c r="V135" s="222">
        <f t="shared" si="0"/>
        <v>0</v>
      </c>
      <c r="W135" s="228">
        <f t="shared" si="1"/>
        <v>0</v>
      </c>
      <c r="X135" s="222">
        <f t="shared" si="5"/>
        <v>0</v>
      </c>
      <c r="Y135" s="222">
        <f t="shared" si="2"/>
        <v>0</v>
      </c>
      <c r="Z135" s="231">
        <f t="shared" si="3"/>
        <v>0</v>
      </c>
      <c r="AA135" s="231"/>
    </row>
    <row r="136" spans="1:27" hidden="1" x14ac:dyDescent="0.25">
      <c r="A136" s="81" t="s">
        <v>154</v>
      </c>
      <c r="B136" s="153" t="s">
        <v>131</v>
      </c>
      <c r="E136" s="164"/>
      <c r="F136" s="162"/>
      <c r="G136" s="164"/>
      <c r="H136" s="171"/>
      <c r="I136" s="34">
        <f>G136*H136</f>
        <v>0</v>
      </c>
      <c r="J136" s="1">
        <f>I136*C4</f>
        <v>0</v>
      </c>
      <c r="K136" s="239"/>
      <c r="L136" s="239"/>
      <c r="M136" s="239"/>
      <c r="N136" s="239"/>
      <c r="O136" s="239"/>
      <c r="P136" s="239"/>
      <c r="Q136" s="239"/>
      <c r="R136" s="239"/>
      <c r="S136" s="239"/>
      <c r="T136" s="250"/>
      <c r="U136" s="256"/>
      <c r="V136" s="222">
        <f t="shared" si="0"/>
        <v>0</v>
      </c>
      <c r="W136" s="228">
        <f t="shared" si="1"/>
        <v>0</v>
      </c>
      <c r="X136" s="222">
        <f t="shared" si="5"/>
        <v>0</v>
      </c>
      <c r="Y136" s="222">
        <f t="shared" si="2"/>
        <v>0</v>
      </c>
      <c r="Z136" s="231">
        <f t="shared" si="3"/>
        <v>0</v>
      </c>
      <c r="AA136" s="231"/>
    </row>
    <row r="137" spans="1:27" hidden="1" x14ac:dyDescent="0.25">
      <c r="A137" s="81" t="s">
        <v>155</v>
      </c>
      <c r="B137" s="153" t="s">
        <v>132</v>
      </c>
      <c r="E137" s="164"/>
      <c r="F137" s="162"/>
      <c r="G137" s="164"/>
      <c r="H137" s="171"/>
      <c r="I137" s="34">
        <f>G137*H137</f>
        <v>0</v>
      </c>
      <c r="J137" s="1">
        <f>I137*C4</f>
        <v>0</v>
      </c>
      <c r="K137" s="239"/>
      <c r="L137" s="239"/>
      <c r="M137" s="239"/>
      <c r="N137" s="239"/>
      <c r="O137" s="239"/>
      <c r="P137" s="239"/>
      <c r="Q137" s="239"/>
      <c r="R137" s="239"/>
      <c r="S137" s="239"/>
      <c r="T137" s="250"/>
      <c r="U137" s="256"/>
      <c r="V137" s="222">
        <f t="shared" si="0"/>
        <v>0</v>
      </c>
      <c r="W137" s="228">
        <f t="shared" si="1"/>
        <v>0</v>
      </c>
      <c r="X137" s="222" t="e">
        <f t="shared" si="5"/>
        <v>#VALUE!</v>
      </c>
      <c r="Y137" s="222" t="e">
        <f t="shared" si="2"/>
        <v>#VALUE!</v>
      </c>
      <c r="Z137" s="231">
        <f t="shared" si="3"/>
        <v>0</v>
      </c>
      <c r="AA137" s="231"/>
    </row>
    <row r="138" spans="1:27" x14ac:dyDescent="0.25">
      <c r="E138" s="35"/>
      <c r="F138" s="35"/>
      <c r="G138" s="35"/>
      <c r="H138" s="35"/>
      <c r="I138" s="172"/>
      <c r="K138" s="239"/>
      <c r="L138" s="239"/>
      <c r="M138" s="239"/>
      <c r="N138" s="239"/>
      <c r="O138" s="239"/>
      <c r="P138" s="239"/>
      <c r="Q138" s="239"/>
      <c r="R138" s="239"/>
      <c r="S138" s="239"/>
      <c r="T138" s="250"/>
      <c r="U138" s="256"/>
      <c r="V138" s="222"/>
      <c r="W138" s="228"/>
      <c r="X138" s="222"/>
      <c r="Y138" s="222"/>
      <c r="Z138" s="231"/>
      <c r="AA138" s="231"/>
    </row>
    <row r="139" spans="1:27" ht="13.8" thickBot="1" x14ac:dyDescent="0.3">
      <c r="A139" s="103"/>
      <c r="B139" s="150" t="s">
        <v>115</v>
      </c>
      <c r="E139" s="126"/>
      <c r="F139" s="122"/>
      <c r="G139" s="126"/>
      <c r="H139" s="127"/>
      <c r="I139" s="36" t="e">
        <f>#REF!+#REF!+#REF!+#REF!+#REF!</f>
        <v>#REF!</v>
      </c>
      <c r="J139" s="36">
        <f>SUM('DSPR- J'!G201,'DSPR-L'!G202,'HEKS-L'!G197,'IOCC-J'!G199,'IOCC-L'!G149,'IOCC-S'!G155,'LWF-J'!G220,'LWF-S'!G183,'MECC-L'!G192,'MECC-S'!G195)</f>
        <v>348849.00219344633</v>
      </c>
      <c r="K139" s="241"/>
      <c r="L139" s="241"/>
      <c r="M139" s="241"/>
      <c r="N139" s="241"/>
      <c r="O139" s="241"/>
      <c r="P139" s="241"/>
      <c r="Q139" s="241"/>
      <c r="R139" s="241"/>
      <c r="S139" s="241"/>
      <c r="T139" s="252"/>
      <c r="U139" s="262"/>
      <c r="V139" s="222" t="e">
        <f t="shared" si="0"/>
        <v>#REF!</v>
      </c>
      <c r="W139" s="228" t="e">
        <f t="shared" si="1"/>
        <v>#REF!</v>
      </c>
      <c r="X139" s="222">
        <f>U139*C4</f>
        <v>0</v>
      </c>
      <c r="Y139" s="222">
        <f t="shared" si="2"/>
        <v>-348849.00219344633</v>
      </c>
      <c r="Z139" s="231">
        <f t="shared" si="3"/>
        <v>-1</v>
      </c>
      <c r="AA139" s="231"/>
    </row>
    <row r="140" spans="1:27" ht="13.8" thickTop="1" x14ac:dyDescent="0.25">
      <c r="A140" s="103"/>
      <c r="B140" s="150"/>
      <c r="E140" s="126"/>
      <c r="F140" s="122"/>
      <c r="G140" s="126"/>
      <c r="H140" s="127"/>
      <c r="I140" s="173"/>
      <c r="J140" s="173"/>
      <c r="K140" s="241"/>
      <c r="L140" s="241"/>
      <c r="M140" s="241"/>
      <c r="N140" s="241"/>
      <c r="O140" s="241"/>
      <c r="P140" s="241"/>
      <c r="Q140" s="241"/>
      <c r="R140" s="241"/>
      <c r="S140" s="241"/>
      <c r="T140" s="252"/>
      <c r="U140" s="258"/>
      <c r="V140" s="222"/>
      <c r="W140" s="228"/>
      <c r="X140" s="222"/>
      <c r="Y140" s="222"/>
      <c r="Z140" s="231"/>
      <c r="AA140" s="231"/>
    </row>
    <row r="141" spans="1:27" x14ac:dyDescent="0.25">
      <c r="A141" s="129">
        <v>5</v>
      </c>
      <c r="B141" s="130" t="s">
        <v>117</v>
      </c>
      <c r="C141" s="131"/>
      <c r="D141" s="132"/>
      <c r="E141" s="133"/>
      <c r="F141" s="134"/>
      <c r="G141" s="133"/>
      <c r="H141" s="135"/>
      <c r="I141" s="135"/>
      <c r="J141" s="151"/>
      <c r="K141" s="238"/>
      <c r="L141" s="238"/>
      <c r="M141" s="238"/>
      <c r="N141" s="238"/>
      <c r="O141" s="238"/>
      <c r="P141" s="238"/>
      <c r="Q141" s="238"/>
      <c r="R141" s="238"/>
      <c r="S141" s="238"/>
      <c r="T141" s="251"/>
      <c r="U141" s="259"/>
      <c r="V141" s="227"/>
      <c r="W141" s="229"/>
      <c r="X141" s="227"/>
      <c r="Y141" s="227"/>
      <c r="Z141" s="232"/>
      <c r="AA141" s="232"/>
    </row>
    <row r="142" spans="1:27" hidden="1" x14ac:dyDescent="0.25">
      <c r="A142" s="81" t="s">
        <v>157</v>
      </c>
      <c r="B142" s="167" t="s">
        <v>11</v>
      </c>
      <c r="E142" s="164"/>
      <c r="F142" s="162"/>
      <c r="G142" s="164"/>
      <c r="H142" s="168"/>
      <c r="I142" s="34">
        <f>G142*H142</f>
        <v>0</v>
      </c>
      <c r="J142" s="35">
        <f>I142*C4</f>
        <v>0</v>
      </c>
      <c r="K142" s="239"/>
      <c r="L142" s="239"/>
      <c r="M142" s="239"/>
      <c r="N142" s="239"/>
      <c r="O142" s="239"/>
      <c r="P142" s="239"/>
      <c r="Q142" s="239"/>
      <c r="R142" s="239"/>
      <c r="S142" s="239"/>
      <c r="T142" s="250"/>
      <c r="U142" s="256"/>
      <c r="V142" s="222">
        <f t="shared" si="0"/>
        <v>0</v>
      </c>
      <c r="W142" s="228">
        <f t="shared" si="1"/>
        <v>0</v>
      </c>
      <c r="X142" s="222">
        <f t="shared" si="5"/>
        <v>0</v>
      </c>
      <c r="Y142" s="222">
        <f t="shared" si="2"/>
        <v>0</v>
      </c>
      <c r="Z142" s="231">
        <f t="shared" si="3"/>
        <v>0</v>
      </c>
      <c r="AA142" s="231"/>
    </row>
    <row r="143" spans="1:27" hidden="1" x14ac:dyDescent="0.25">
      <c r="A143" s="81" t="s">
        <v>158</v>
      </c>
      <c r="B143" s="167" t="s">
        <v>12</v>
      </c>
      <c r="E143" s="164"/>
      <c r="F143" s="162"/>
      <c r="G143" s="164"/>
      <c r="H143" s="168"/>
      <c r="I143" s="34">
        <f>G143*H143</f>
        <v>0</v>
      </c>
      <c r="J143" s="35">
        <f>I143*C4</f>
        <v>0</v>
      </c>
      <c r="K143" s="239"/>
      <c r="L143" s="239"/>
      <c r="M143" s="239"/>
      <c r="N143" s="239"/>
      <c r="O143" s="239"/>
      <c r="P143" s="239"/>
      <c r="Q143" s="239"/>
      <c r="R143" s="239"/>
      <c r="S143" s="239"/>
      <c r="T143" s="250"/>
      <c r="U143" s="256"/>
      <c r="V143" s="222">
        <f t="shared" si="0"/>
        <v>0</v>
      </c>
      <c r="W143" s="228">
        <f t="shared" si="1"/>
        <v>0</v>
      </c>
      <c r="X143" s="222">
        <f t="shared" si="5"/>
        <v>0</v>
      </c>
      <c r="Y143" s="222">
        <f t="shared" si="2"/>
        <v>0</v>
      </c>
      <c r="Z143" s="231">
        <f t="shared" si="3"/>
        <v>0</v>
      </c>
      <c r="AA143" s="231"/>
    </row>
    <row r="144" spans="1:27" hidden="1" x14ac:dyDescent="0.25">
      <c r="A144" s="81" t="s">
        <v>159</v>
      </c>
      <c r="B144" s="167" t="s">
        <v>13</v>
      </c>
      <c r="E144" s="164"/>
      <c r="F144" s="162"/>
      <c r="G144" s="164"/>
      <c r="H144" s="168"/>
      <c r="I144" s="34">
        <f>G144*H144</f>
        <v>0</v>
      </c>
      <c r="J144" s="35">
        <f>I144*C4</f>
        <v>0</v>
      </c>
      <c r="K144" s="239"/>
      <c r="L144" s="239"/>
      <c r="M144" s="239"/>
      <c r="N144" s="239"/>
      <c r="O144" s="239"/>
      <c r="P144" s="239"/>
      <c r="Q144" s="239"/>
      <c r="R144" s="239"/>
      <c r="S144" s="239"/>
      <c r="T144" s="250"/>
      <c r="U144" s="256"/>
      <c r="V144" s="222">
        <f t="shared" si="0"/>
        <v>0</v>
      </c>
      <c r="W144" s="228">
        <f t="shared" si="1"/>
        <v>0</v>
      </c>
      <c r="X144" s="222">
        <f t="shared" si="5"/>
        <v>0</v>
      </c>
      <c r="Y144" s="222">
        <f t="shared" si="2"/>
        <v>0</v>
      </c>
      <c r="Z144" s="231">
        <f t="shared" si="3"/>
        <v>0</v>
      </c>
      <c r="AA144" s="231"/>
    </row>
    <row r="145" spans="1:27" hidden="1" x14ac:dyDescent="0.25">
      <c r="A145" s="81" t="s">
        <v>160</v>
      </c>
      <c r="B145" s="167" t="s">
        <v>14</v>
      </c>
      <c r="E145" s="164"/>
      <c r="F145" s="162"/>
      <c r="G145" s="164"/>
      <c r="H145" s="168"/>
      <c r="I145" s="34">
        <f>G145*H145</f>
        <v>0</v>
      </c>
      <c r="J145" s="35">
        <f>I145*C4</f>
        <v>0</v>
      </c>
      <c r="K145" s="239"/>
      <c r="L145" s="239"/>
      <c r="M145" s="239"/>
      <c r="N145" s="239"/>
      <c r="O145" s="239"/>
      <c r="P145" s="239"/>
      <c r="Q145" s="239"/>
      <c r="R145" s="239"/>
      <c r="S145" s="239"/>
      <c r="T145" s="250"/>
      <c r="U145" s="256"/>
      <c r="V145" s="222">
        <f t="shared" si="0"/>
        <v>0</v>
      </c>
      <c r="W145" s="228">
        <f t="shared" si="1"/>
        <v>0</v>
      </c>
      <c r="X145" s="222">
        <f t="shared" si="5"/>
        <v>0</v>
      </c>
      <c r="Y145" s="222">
        <f t="shared" si="2"/>
        <v>0</v>
      </c>
      <c r="Z145" s="231">
        <f t="shared" si="3"/>
        <v>0</v>
      </c>
      <c r="AA145" s="231"/>
    </row>
    <row r="146" spans="1:27" ht="39.6" hidden="1" x14ac:dyDescent="0.25">
      <c r="A146" s="81" t="s">
        <v>161</v>
      </c>
      <c r="B146" s="167" t="s">
        <v>60</v>
      </c>
      <c r="E146" s="164"/>
      <c r="F146" s="162"/>
      <c r="G146" s="164"/>
      <c r="H146" s="168"/>
      <c r="I146" s="34">
        <f>G146*H146</f>
        <v>0</v>
      </c>
      <c r="J146" s="35">
        <f>I146*C4</f>
        <v>0</v>
      </c>
      <c r="K146" s="239"/>
      <c r="L146" s="239"/>
      <c r="M146" s="239"/>
      <c r="N146" s="239"/>
      <c r="O146" s="239"/>
      <c r="P146" s="239"/>
      <c r="Q146" s="239"/>
      <c r="R146" s="239"/>
      <c r="S146" s="239"/>
      <c r="T146" s="250"/>
      <c r="U146" s="256"/>
      <c r="V146" s="222">
        <f t="shared" ref="V146:V190" si="8">U146-I146</f>
        <v>0</v>
      </c>
      <c r="W146" s="228">
        <f t="shared" ref="W146:W190" si="9">IF(I146=0,0,V146/I146)</f>
        <v>0</v>
      </c>
      <c r="X146" s="222">
        <f>U146*C69</f>
        <v>0</v>
      </c>
      <c r="Y146" s="222">
        <f t="shared" ref="Y146:Y190" si="10">X146-J146</f>
        <v>0</v>
      </c>
      <c r="Z146" s="231">
        <f t="shared" ref="Z146:Z190" si="11">IF(J146=0,0,Y146/J146)</f>
        <v>0</v>
      </c>
      <c r="AA146" s="231"/>
    </row>
    <row r="147" spans="1:27" hidden="1" x14ac:dyDescent="0.25">
      <c r="B147" s="167"/>
      <c r="F147" s="75"/>
      <c r="I147" s="34"/>
      <c r="K147" s="239"/>
      <c r="L147" s="239"/>
      <c r="M147" s="239"/>
      <c r="N147" s="239"/>
      <c r="O147" s="239"/>
      <c r="P147" s="239"/>
      <c r="Q147" s="239"/>
      <c r="R147" s="239"/>
      <c r="S147" s="239"/>
      <c r="T147" s="250"/>
      <c r="U147" s="256"/>
      <c r="V147" s="222">
        <f t="shared" si="8"/>
        <v>0</v>
      </c>
      <c r="W147" s="228">
        <f t="shared" si="9"/>
        <v>0</v>
      </c>
      <c r="X147" s="222">
        <f>U147*C70</f>
        <v>0</v>
      </c>
      <c r="Y147" s="222">
        <f t="shared" si="10"/>
        <v>0</v>
      </c>
      <c r="Z147" s="231">
        <f t="shared" si="11"/>
        <v>0</v>
      </c>
      <c r="AA147" s="231"/>
    </row>
    <row r="148" spans="1:27" ht="13.8" thickBot="1" x14ac:dyDescent="0.3">
      <c r="A148" s="103"/>
      <c r="B148" s="150" t="s">
        <v>118</v>
      </c>
      <c r="E148" s="126"/>
      <c r="F148" s="122"/>
      <c r="G148" s="126"/>
      <c r="H148" s="127"/>
      <c r="I148" s="36" t="e">
        <f>#REF!+#REF!+#REF!+#REF!+#REF!</f>
        <v>#REF!</v>
      </c>
      <c r="J148" s="36">
        <f>SUM('DSPR- J'!G210,'DSPR-L'!G211,'HEKS-L'!G206,'IOCC-J'!G208,'IOCC-L'!G158,'IOCC-S'!G164,'LWF-J'!G229,'LWF-S'!G192,'MECC-L'!G201,'MECC-S'!G204)</f>
        <v>83947.031631920894</v>
      </c>
      <c r="K148" s="241"/>
      <c r="L148" s="241"/>
      <c r="M148" s="241"/>
      <c r="N148" s="241"/>
      <c r="O148" s="241"/>
      <c r="P148" s="241"/>
      <c r="Q148" s="241"/>
      <c r="R148" s="241"/>
      <c r="S148" s="241"/>
      <c r="T148" s="252"/>
      <c r="U148" s="262"/>
      <c r="V148" s="222" t="e">
        <f t="shared" si="8"/>
        <v>#REF!</v>
      </c>
      <c r="W148" s="228" t="e">
        <f t="shared" si="9"/>
        <v>#REF!</v>
      </c>
      <c r="X148" s="222">
        <f>U148*C4</f>
        <v>0</v>
      </c>
      <c r="Y148" s="222">
        <f t="shared" si="10"/>
        <v>-83947.031631920894</v>
      </c>
      <c r="Z148" s="231">
        <f t="shared" si="11"/>
        <v>-1</v>
      </c>
      <c r="AA148" s="231"/>
    </row>
    <row r="149" spans="1:27" ht="13.8" thickTop="1" x14ac:dyDescent="0.25">
      <c r="B149" s="167"/>
      <c r="F149" s="75"/>
      <c r="I149" s="34"/>
      <c r="K149" s="239"/>
      <c r="L149" s="239"/>
      <c r="M149" s="239"/>
      <c r="N149" s="239"/>
      <c r="O149" s="239"/>
      <c r="P149" s="239"/>
      <c r="Q149" s="239"/>
      <c r="R149" s="239"/>
      <c r="S149" s="239"/>
      <c r="T149" s="250"/>
      <c r="U149" s="261"/>
      <c r="V149" s="222">
        <f t="shared" si="8"/>
        <v>0</v>
      </c>
      <c r="W149" s="228">
        <f t="shared" si="9"/>
        <v>0</v>
      </c>
      <c r="X149" s="222">
        <f>U149*C4</f>
        <v>0</v>
      </c>
      <c r="Y149" s="222">
        <f t="shared" si="10"/>
        <v>0</v>
      </c>
      <c r="Z149" s="231">
        <f t="shared" si="11"/>
        <v>0</v>
      </c>
      <c r="AA149" s="231"/>
    </row>
    <row r="150" spans="1:27" x14ac:dyDescent="0.25">
      <c r="A150" s="129">
        <v>6</v>
      </c>
      <c r="B150" s="130" t="s">
        <v>119</v>
      </c>
      <c r="C150" s="131"/>
      <c r="D150" s="132"/>
      <c r="E150" s="133"/>
      <c r="F150" s="134"/>
      <c r="G150" s="133"/>
      <c r="H150" s="135"/>
      <c r="I150" s="135"/>
      <c r="J150" s="151"/>
      <c r="K150" s="238"/>
      <c r="L150" s="238"/>
      <c r="M150" s="238"/>
      <c r="N150" s="238"/>
      <c r="O150" s="238"/>
      <c r="P150" s="238"/>
      <c r="Q150" s="238"/>
      <c r="R150" s="238"/>
      <c r="S150" s="238"/>
      <c r="T150" s="251"/>
      <c r="U150" s="259"/>
      <c r="V150" s="227"/>
      <c r="W150" s="229"/>
      <c r="X150" s="227"/>
      <c r="Y150" s="227"/>
      <c r="Z150" s="232"/>
      <c r="AA150" s="232"/>
    </row>
    <row r="151" spans="1:27" x14ac:dyDescent="0.25">
      <c r="A151" s="103" t="s">
        <v>120</v>
      </c>
      <c r="B151" s="103" t="s">
        <v>77</v>
      </c>
      <c r="E151" s="146"/>
      <c r="F151" s="2"/>
      <c r="G151" s="146"/>
      <c r="H151" s="147"/>
      <c r="I151" s="3"/>
      <c r="J151" s="39"/>
      <c r="K151" s="239"/>
      <c r="L151" s="239"/>
      <c r="M151" s="239"/>
      <c r="N151" s="239"/>
      <c r="O151" s="239"/>
      <c r="P151" s="239"/>
      <c r="Q151" s="239"/>
      <c r="R151" s="239"/>
      <c r="S151" s="239"/>
      <c r="T151" s="250"/>
      <c r="U151" s="255"/>
      <c r="V151" s="222"/>
      <c r="W151" s="228"/>
      <c r="X151" s="222"/>
      <c r="Y151" s="222"/>
      <c r="Z151" s="231"/>
      <c r="AA151" s="231"/>
    </row>
    <row r="152" spans="1:27" hidden="1" x14ac:dyDescent="0.25">
      <c r="A152" s="113" t="s">
        <v>121</v>
      </c>
      <c r="B152" s="174" t="s">
        <v>78</v>
      </c>
      <c r="E152" s="164"/>
      <c r="F152" s="162"/>
      <c r="G152" s="164"/>
      <c r="H152" s="168"/>
      <c r="I152" s="3">
        <f>G152*H152</f>
        <v>0</v>
      </c>
      <c r="J152" s="39">
        <f>I152*C4</f>
        <v>0</v>
      </c>
      <c r="K152" s="239"/>
      <c r="L152" s="239"/>
      <c r="M152" s="239"/>
      <c r="N152" s="239"/>
      <c r="O152" s="239"/>
      <c r="P152" s="239"/>
      <c r="Q152" s="239"/>
      <c r="R152" s="239"/>
      <c r="S152" s="239"/>
      <c r="T152" s="250"/>
      <c r="U152" s="255"/>
      <c r="V152" s="222">
        <f t="shared" si="8"/>
        <v>0</v>
      </c>
      <c r="W152" s="228">
        <f t="shared" si="9"/>
        <v>0</v>
      </c>
      <c r="X152" s="222">
        <f>U152*C75</f>
        <v>0</v>
      </c>
      <c r="Y152" s="222">
        <f t="shared" si="10"/>
        <v>0</v>
      </c>
      <c r="Z152" s="231">
        <f t="shared" si="11"/>
        <v>0</v>
      </c>
      <c r="AA152" s="231"/>
    </row>
    <row r="153" spans="1:27" hidden="1" x14ac:dyDescent="0.25">
      <c r="A153" s="113" t="s">
        <v>122</v>
      </c>
      <c r="B153" s="174" t="s">
        <v>79</v>
      </c>
      <c r="E153" s="164"/>
      <c r="F153" s="162"/>
      <c r="G153" s="164"/>
      <c r="H153" s="168"/>
      <c r="I153" s="3">
        <f>G153*H153</f>
        <v>0</v>
      </c>
      <c r="J153" s="39">
        <f>I153*C4</f>
        <v>0</v>
      </c>
      <c r="K153" s="239"/>
      <c r="L153" s="239"/>
      <c r="M153" s="239"/>
      <c r="N153" s="239"/>
      <c r="O153" s="239"/>
      <c r="P153" s="239"/>
      <c r="Q153" s="239"/>
      <c r="R153" s="239"/>
      <c r="S153" s="239"/>
      <c r="T153" s="250"/>
      <c r="U153" s="255"/>
      <c r="V153" s="222">
        <f t="shared" si="8"/>
        <v>0</v>
      </c>
      <c r="W153" s="228">
        <f t="shared" si="9"/>
        <v>0</v>
      </c>
      <c r="X153" s="222">
        <f>U153*C76</f>
        <v>0</v>
      </c>
      <c r="Y153" s="222">
        <f t="shared" si="10"/>
        <v>0</v>
      </c>
      <c r="Z153" s="231">
        <f t="shared" si="11"/>
        <v>0</v>
      </c>
      <c r="AA153" s="231"/>
    </row>
    <row r="154" spans="1:27" hidden="1" x14ac:dyDescent="0.25">
      <c r="A154" s="113" t="s">
        <v>123</v>
      </c>
      <c r="B154" s="174" t="s">
        <v>80</v>
      </c>
      <c r="E154" s="164"/>
      <c r="F154" s="162"/>
      <c r="G154" s="164"/>
      <c r="H154" s="168"/>
      <c r="I154" s="3">
        <f>G154*H154</f>
        <v>0</v>
      </c>
      <c r="J154" s="39">
        <f>I154*C4</f>
        <v>0</v>
      </c>
      <c r="K154" s="239"/>
      <c r="L154" s="239"/>
      <c r="M154" s="239"/>
      <c r="N154" s="239"/>
      <c r="O154" s="239"/>
      <c r="P154" s="239"/>
      <c r="Q154" s="239"/>
      <c r="R154" s="239"/>
      <c r="S154" s="239"/>
      <c r="T154" s="250"/>
      <c r="U154" s="255"/>
      <c r="V154" s="222">
        <f t="shared" si="8"/>
        <v>0</v>
      </c>
      <c r="W154" s="228">
        <f t="shared" si="9"/>
        <v>0</v>
      </c>
      <c r="X154" s="222">
        <f>U154*C77</f>
        <v>0</v>
      </c>
      <c r="Y154" s="222">
        <f t="shared" si="10"/>
        <v>0</v>
      </c>
      <c r="Z154" s="231">
        <f t="shared" si="11"/>
        <v>0</v>
      </c>
      <c r="AA154" s="231"/>
    </row>
    <row r="155" spans="1:27" hidden="1" x14ac:dyDescent="0.25">
      <c r="A155" s="113" t="s">
        <v>124</v>
      </c>
      <c r="B155" s="174" t="s">
        <v>81</v>
      </c>
      <c r="E155" s="164"/>
      <c r="F155" s="162"/>
      <c r="G155" s="164"/>
      <c r="H155" s="168"/>
      <c r="I155" s="3">
        <f>G155*H155</f>
        <v>0</v>
      </c>
      <c r="J155" s="39">
        <f>I155*C4</f>
        <v>0</v>
      </c>
      <c r="K155" s="239"/>
      <c r="L155" s="239"/>
      <c r="M155" s="239"/>
      <c r="N155" s="239"/>
      <c r="O155" s="239"/>
      <c r="P155" s="239"/>
      <c r="Q155" s="239"/>
      <c r="R155" s="239"/>
      <c r="S155" s="239"/>
      <c r="T155" s="250"/>
      <c r="U155" s="255"/>
      <c r="V155" s="222">
        <f t="shared" si="8"/>
        <v>0</v>
      </c>
      <c r="W155" s="228">
        <f t="shared" si="9"/>
        <v>0</v>
      </c>
      <c r="X155" s="222">
        <f>U155*C78</f>
        <v>0</v>
      </c>
      <c r="Y155" s="222">
        <f t="shared" si="10"/>
        <v>0</v>
      </c>
      <c r="Z155" s="231">
        <f t="shared" si="11"/>
        <v>0</v>
      </c>
      <c r="AA155" s="231"/>
    </row>
    <row r="156" spans="1:27" hidden="1" x14ac:dyDescent="0.25">
      <c r="A156" s="103"/>
      <c r="B156" s="174"/>
      <c r="E156" s="175"/>
      <c r="F156" s="176"/>
      <c r="G156" s="175"/>
      <c r="H156" s="177"/>
      <c r="I156" s="3"/>
      <c r="J156" s="39"/>
      <c r="K156" s="239"/>
      <c r="L156" s="239"/>
      <c r="M156" s="239"/>
      <c r="N156" s="239"/>
      <c r="O156" s="239"/>
      <c r="P156" s="239"/>
      <c r="Q156" s="239"/>
      <c r="R156" s="239"/>
      <c r="S156" s="239"/>
      <c r="T156" s="250"/>
      <c r="U156" s="255"/>
      <c r="V156" s="222">
        <f t="shared" si="8"/>
        <v>0</v>
      </c>
      <c r="W156" s="228">
        <f t="shared" si="9"/>
        <v>0</v>
      </c>
      <c r="X156" s="222">
        <f>U156*C79</f>
        <v>0</v>
      </c>
      <c r="Y156" s="222">
        <f t="shared" si="10"/>
        <v>0</v>
      </c>
      <c r="Z156" s="231">
        <f t="shared" si="11"/>
        <v>0</v>
      </c>
      <c r="AA156" s="231"/>
    </row>
    <row r="157" spans="1:27" ht="13.8" thickBot="1" x14ac:dyDescent="0.3">
      <c r="A157" s="103"/>
      <c r="B157" s="150" t="s">
        <v>82</v>
      </c>
      <c r="E157" s="175"/>
      <c r="F157" s="176"/>
      <c r="G157" s="175"/>
      <c r="H157" s="177"/>
      <c r="I157" s="36" t="e">
        <f>#REF!+#REF!+#REF!+#REF!+#REF!</f>
        <v>#REF!</v>
      </c>
      <c r="J157" s="36">
        <f>SUM('DSPR- J'!G219,'DSPR-L'!G220,'HEKS-L'!G215,'IOCC-J'!G217,'IOCC-L'!G167,'IOCC-S'!G173,'LWF-J'!G237,'LWF-S'!G201,'MECC-L'!G210,'MECC-S'!G213,)</f>
        <v>22661.65687853107</v>
      </c>
      <c r="K157" s="241"/>
      <c r="L157" s="241"/>
      <c r="M157" s="241"/>
      <c r="N157" s="241"/>
      <c r="O157" s="241"/>
      <c r="P157" s="241"/>
      <c r="Q157" s="241"/>
      <c r="R157" s="241"/>
      <c r="S157" s="241"/>
      <c r="T157" s="252"/>
      <c r="U157" s="262"/>
      <c r="V157" s="222" t="e">
        <f t="shared" si="8"/>
        <v>#REF!</v>
      </c>
      <c r="W157" s="228" t="e">
        <f t="shared" si="9"/>
        <v>#REF!</v>
      </c>
      <c r="X157" s="222">
        <f>U157*C4</f>
        <v>0</v>
      </c>
      <c r="Y157" s="222">
        <f t="shared" si="10"/>
        <v>-22661.65687853107</v>
      </c>
      <c r="Z157" s="231">
        <f t="shared" si="11"/>
        <v>-1</v>
      </c>
      <c r="AA157" s="231"/>
    </row>
    <row r="158" spans="1:27" ht="13.8" thickTop="1" x14ac:dyDescent="0.25">
      <c r="B158" s="178"/>
      <c r="F158" s="75"/>
      <c r="I158" s="179"/>
      <c r="K158" s="239"/>
      <c r="L158" s="239"/>
      <c r="M158" s="239"/>
      <c r="N158" s="239"/>
      <c r="O158" s="239"/>
      <c r="P158" s="239"/>
      <c r="Q158" s="239"/>
      <c r="R158" s="239"/>
      <c r="S158" s="239"/>
      <c r="T158" s="250"/>
      <c r="U158" s="256"/>
      <c r="V158" s="222"/>
      <c r="W158" s="228"/>
      <c r="X158" s="222"/>
      <c r="Y158" s="222"/>
      <c r="Z158" s="231"/>
      <c r="AA158" s="231"/>
    </row>
    <row r="159" spans="1:27" x14ac:dyDescent="0.25">
      <c r="A159" s="103" t="s">
        <v>125</v>
      </c>
      <c r="B159" s="103" t="s">
        <v>198</v>
      </c>
      <c r="E159" s="146"/>
      <c r="F159" s="2"/>
      <c r="G159" s="146"/>
      <c r="H159" s="147"/>
      <c r="I159" s="3"/>
      <c r="J159" s="39"/>
      <c r="K159" s="239"/>
      <c r="L159" s="239"/>
      <c r="M159" s="239"/>
      <c r="N159" s="239"/>
      <c r="O159" s="239"/>
      <c r="P159" s="239"/>
      <c r="Q159" s="239"/>
      <c r="R159" s="239"/>
      <c r="S159" s="239"/>
      <c r="T159" s="250"/>
      <c r="U159" s="255"/>
      <c r="V159" s="222"/>
      <c r="W159" s="228"/>
      <c r="X159" s="222"/>
      <c r="Y159" s="222"/>
      <c r="Z159" s="231"/>
      <c r="AA159" s="231"/>
    </row>
    <row r="160" spans="1:27" hidden="1" x14ac:dyDescent="0.25">
      <c r="A160" s="113" t="s">
        <v>126</v>
      </c>
      <c r="B160" s="174" t="s">
        <v>135</v>
      </c>
      <c r="E160" s="164"/>
      <c r="F160" s="162"/>
      <c r="G160" s="164"/>
      <c r="H160" s="168"/>
      <c r="I160" s="3">
        <f>G160*H160</f>
        <v>0</v>
      </c>
      <c r="J160" s="39">
        <f>I160*C4</f>
        <v>0</v>
      </c>
      <c r="K160" s="239"/>
      <c r="L160" s="239"/>
      <c r="M160" s="239"/>
      <c r="N160" s="239"/>
      <c r="O160" s="239"/>
      <c r="P160" s="239"/>
      <c r="Q160" s="239"/>
      <c r="R160" s="239"/>
      <c r="S160" s="239"/>
      <c r="T160" s="250"/>
      <c r="U160" s="255"/>
      <c r="V160" s="222">
        <f t="shared" si="8"/>
        <v>0</v>
      </c>
      <c r="W160" s="228">
        <f t="shared" si="9"/>
        <v>0</v>
      </c>
      <c r="X160" s="222">
        <f>U160*C83</f>
        <v>0</v>
      </c>
      <c r="Y160" s="222">
        <f t="shared" si="10"/>
        <v>0</v>
      </c>
      <c r="Z160" s="231">
        <f t="shared" si="11"/>
        <v>0</v>
      </c>
      <c r="AA160" s="231"/>
    </row>
    <row r="161" spans="1:29" hidden="1" x14ac:dyDescent="0.25">
      <c r="A161" s="113" t="s">
        <v>127</v>
      </c>
      <c r="B161" s="174" t="s">
        <v>136</v>
      </c>
      <c r="E161" s="164"/>
      <c r="F161" s="162"/>
      <c r="G161" s="164"/>
      <c r="H161" s="168"/>
      <c r="I161" s="3">
        <f>G161*H161</f>
        <v>0</v>
      </c>
      <c r="J161" s="39">
        <f>I161*C4</f>
        <v>0</v>
      </c>
      <c r="K161" s="239"/>
      <c r="L161" s="239"/>
      <c r="M161" s="239"/>
      <c r="N161" s="239"/>
      <c r="O161" s="239"/>
      <c r="P161" s="239"/>
      <c r="Q161" s="239"/>
      <c r="R161" s="239"/>
      <c r="S161" s="239"/>
      <c r="T161" s="250"/>
      <c r="U161" s="255"/>
      <c r="V161" s="222">
        <f t="shared" si="8"/>
        <v>0</v>
      </c>
      <c r="W161" s="228">
        <f t="shared" si="9"/>
        <v>0</v>
      </c>
      <c r="X161" s="222">
        <f>U161*C84</f>
        <v>0</v>
      </c>
      <c r="Y161" s="222">
        <f t="shared" si="10"/>
        <v>0</v>
      </c>
      <c r="Z161" s="231">
        <f t="shared" si="11"/>
        <v>0</v>
      </c>
      <c r="AA161" s="231"/>
    </row>
    <row r="162" spans="1:29" hidden="1" x14ac:dyDescent="0.25">
      <c r="A162" s="113" t="s">
        <v>128</v>
      </c>
      <c r="B162" s="174" t="s">
        <v>134</v>
      </c>
      <c r="E162" s="164"/>
      <c r="F162" s="162"/>
      <c r="G162" s="164"/>
      <c r="H162" s="168"/>
      <c r="I162" s="3">
        <f>G162*H162</f>
        <v>0</v>
      </c>
      <c r="J162" s="39">
        <f>I162*C4</f>
        <v>0</v>
      </c>
      <c r="K162" s="239"/>
      <c r="L162" s="239"/>
      <c r="M162" s="239"/>
      <c r="N162" s="239"/>
      <c r="O162" s="239"/>
      <c r="P162" s="239"/>
      <c r="Q162" s="239"/>
      <c r="R162" s="239"/>
      <c r="S162" s="239"/>
      <c r="T162" s="250"/>
      <c r="U162" s="255"/>
      <c r="V162" s="222">
        <f t="shared" si="8"/>
        <v>0</v>
      </c>
      <c r="W162" s="228">
        <f t="shared" si="9"/>
        <v>0</v>
      </c>
      <c r="X162" s="222">
        <f>U162*C85</f>
        <v>0</v>
      </c>
      <c r="Y162" s="222">
        <f t="shared" si="10"/>
        <v>0</v>
      </c>
      <c r="Z162" s="231">
        <f t="shared" si="11"/>
        <v>0</v>
      </c>
      <c r="AA162" s="231"/>
    </row>
    <row r="163" spans="1:29" hidden="1" x14ac:dyDescent="0.25">
      <c r="A163" s="113" t="s">
        <v>129</v>
      </c>
      <c r="B163" s="174" t="s">
        <v>137</v>
      </c>
      <c r="E163" s="164"/>
      <c r="F163" s="162"/>
      <c r="G163" s="164"/>
      <c r="H163" s="168"/>
      <c r="I163" s="3">
        <f>G163*H163</f>
        <v>0</v>
      </c>
      <c r="J163" s="39">
        <f>I163*C4</f>
        <v>0</v>
      </c>
      <c r="K163" s="239"/>
      <c r="L163" s="239"/>
      <c r="M163" s="239"/>
      <c r="N163" s="239"/>
      <c r="O163" s="239"/>
      <c r="P163" s="239"/>
      <c r="Q163" s="239"/>
      <c r="R163" s="239"/>
      <c r="S163" s="239"/>
      <c r="T163" s="250"/>
      <c r="U163" s="255"/>
      <c r="V163" s="222">
        <f t="shared" si="8"/>
        <v>0</v>
      </c>
      <c r="W163" s="228">
        <f t="shared" si="9"/>
        <v>0</v>
      </c>
      <c r="X163" s="222">
        <f>U163*C86</f>
        <v>0</v>
      </c>
      <c r="Y163" s="222">
        <f t="shared" si="10"/>
        <v>0</v>
      </c>
      <c r="Z163" s="231">
        <f t="shared" si="11"/>
        <v>0</v>
      </c>
      <c r="AA163" s="231"/>
    </row>
    <row r="164" spans="1:29" hidden="1" x14ac:dyDescent="0.25">
      <c r="A164" s="103"/>
      <c r="B164" s="174"/>
      <c r="E164" s="175"/>
      <c r="F164" s="176"/>
      <c r="G164" s="175"/>
      <c r="H164" s="177"/>
      <c r="I164" s="3"/>
      <c r="J164" s="39"/>
      <c r="K164" s="239"/>
      <c r="L164" s="239"/>
      <c r="M164" s="239"/>
      <c r="N164" s="239"/>
      <c r="O164" s="239"/>
      <c r="P164" s="239"/>
      <c r="Q164" s="239"/>
      <c r="R164" s="239"/>
      <c r="S164" s="239"/>
      <c r="T164" s="250"/>
      <c r="U164" s="255"/>
      <c r="V164" s="222">
        <f t="shared" si="8"/>
        <v>0</v>
      </c>
      <c r="W164" s="228">
        <f t="shared" si="9"/>
        <v>0</v>
      </c>
      <c r="X164" s="222">
        <f>U164*C87</f>
        <v>0</v>
      </c>
      <c r="Y164" s="222">
        <f t="shared" si="10"/>
        <v>0</v>
      </c>
      <c r="Z164" s="231">
        <f t="shared" si="11"/>
        <v>0</v>
      </c>
      <c r="AA164" s="231"/>
    </row>
    <row r="165" spans="1:29" ht="13.8" thickBot="1" x14ac:dyDescent="0.3">
      <c r="A165" s="103"/>
      <c r="B165" s="150" t="s">
        <v>199</v>
      </c>
      <c r="E165" s="175"/>
      <c r="F165" s="176"/>
      <c r="G165" s="175"/>
      <c r="H165" s="177"/>
      <c r="I165" s="36" t="e">
        <f>#REF!+#REF!+#REF!+#REF!+#REF!</f>
        <v>#REF!</v>
      </c>
      <c r="J165" s="36">
        <f>SUM('DSPR- J'!G227,'DSPR-L'!G228,'HEKS-L'!G223,'IOCC-J'!G226,'IOCC-L'!G175,'IOCC-S'!G181,'LWF-J'!G246,'LWF-S'!G209,'MECC-L'!G219,'MECC-S'!G221)</f>
        <v>71840.588232768365</v>
      </c>
      <c r="K165" s="241"/>
      <c r="L165" s="241"/>
      <c r="M165" s="241"/>
      <c r="N165" s="241"/>
      <c r="O165" s="241"/>
      <c r="P165" s="241"/>
      <c r="Q165" s="241"/>
      <c r="R165" s="241"/>
      <c r="S165" s="241"/>
      <c r="T165" s="252"/>
      <c r="U165" s="262"/>
      <c r="V165" s="222" t="e">
        <f t="shared" si="8"/>
        <v>#REF!</v>
      </c>
      <c r="W165" s="228" t="e">
        <f t="shared" si="9"/>
        <v>#REF!</v>
      </c>
      <c r="X165" s="222">
        <f>U165*C4</f>
        <v>0</v>
      </c>
      <c r="Y165" s="222">
        <f t="shared" si="10"/>
        <v>-71840.588232768365</v>
      </c>
      <c r="Z165" s="231">
        <f t="shared" si="11"/>
        <v>-1</v>
      </c>
      <c r="AA165" s="231"/>
    </row>
    <row r="166" spans="1:29" ht="13.8" thickTop="1" x14ac:dyDescent="0.25">
      <c r="B166" s="178"/>
      <c r="F166" s="75"/>
      <c r="I166" s="179"/>
      <c r="K166" s="239"/>
      <c r="L166" s="239"/>
      <c r="M166" s="239"/>
      <c r="N166" s="239"/>
      <c r="O166" s="239"/>
      <c r="P166" s="239"/>
      <c r="Q166" s="239"/>
      <c r="R166" s="239"/>
      <c r="S166" s="239"/>
      <c r="T166" s="250"/>
      <c r="U166" s="256"/>
      <c r="V166" s="222"/>
      <c r="W166" s="228"/>
      <c r="X166" s="222"/>
      <c r="Y166" s="222"/>
      <c r="Z166" s="231"/>
      <c r="AA166" s="231"/>
    </row>
    <row r="167" spans="1:29" x14ac:dyDescent="0.25">
      <c r="A167" s="103" t="s">
        <v>163</v>
      </c>
      <c r="B167" s="103" t="s">
        <v>162</v>
      </c>
      <c r="E167" s="146"/>
      <c r="F167" s="2"/>
      <c r="G167" s="146"/>
      <c r="H167" s="147"/>
      <c r="I167" s="3"/>
      <c r="J167" s="39"/>
      <c r="K167" s="239"/>
      <c r="L167" s="239"/>
      <c r="M167" s="239"/>
      <c r="N167" s="239"/>
      <c r="O167" s="239"/>
      <c r="P167" s="239"/>
      <c r="Q167" s="239"/>
      <c r="R167" s="239"/>
      <c r="S167" s="239"/>
      <c r="T167" s="250"/>
      <c r="U167" s="255"/>
      <c r="V167" s="222"/>
      <c r="W167" s="228"/>
      <c r="X167" s="222"/>
      <c r="Y167" s="222"/>
      <c r="Z167" s="231"/>
      <c r="AA167" s="231"/>
    </row>
    <row r="168" spans="1:29" hidden="1" x14ac:dyDescent="0.25">
      <c r="A168" s="113" t="s">
        <v>168</v>
      </c>
      <c r="B168" s="174" t="s">
        <v>164</v>
      </c>
      <c r="E168" s="164"/>
      <c r="F168" s="162"/>
      <c r="G168" s="164"/>
      <c r="H168" s="168"/>
      <c r="I168" s="3">
        <f>G168*H168</f>
        <v>0</v>
      </c>
      <c r="J168" s="39">
        <f>I168*C4</f>
        <v>0</v>
      </c>
      <c r="K168" s="239"/>
      <c r="L168" s="239"/>
      <c r="M168" s="239"/>
      <c r="N168" s="239"/>
      <c r="O168" s="239"/>
      <c r="P168" s="239"/>
      <c r="Q168" s="239"/>
      <c r="R168" s="239"/>
      <c r="S168" s="239"/>
      <c r="T168" s="250"/>
      <c r="U168" s="255"/>
      <c r="V168" s="222">
        <f t="shared" si="8"/>
        <v>0</v>
      </c>
      <c r="W168" s="228">
        <f t="shared" si="9"/>
        <v>0</v>
      </c>
      <c r="X168" s="222">
        <f>U168*C91</f>
        <v>0</v>
      </c>
      <c r="Y168" s="222">
        <f t="shared" si="10"/>
        <v>0</v>
      </c>
      <c r="Z168" s="231">
        <f t="shared" si="11"/>
        <v>0</v>
      </c>
      <c r="AA168" s="231"/>
    </row>
    <row r="169" spans="1:29" hidden="1" x14ac:dyDescent="0.25">
      <c r="A169" s="113" t="s">
        <v>169</v>
      </c>
      <c r="B169" s="174" t="s">
        <v>165</v>
      </c>
      <c r="E169" s="164"/>
      <c r="F169" s="162"/>
      <c r="G169" s="164"/>
      <c r="H169" s="168"/>
      <c r="I169" s="3">
        <f>G169*H169</f>
        <v>0</v>
      </c>
      <c r="J169" s="39">
        <f>I169*C4</f>
        <v>0</v>
      </c>
      <c r="K169" s="239"/>
      <c r="L169" s="239"/>
      <c r="M169" s="239"/>
      <c r="N169" s="239"/>
      <c r="O169" s="239"/>
      <c r="P169" s="239"/>
      <c r="Q169" s="239"/>
      <c r="R169" s="239"/>
      <c r="S169" s="239"/>
      <c r="T169" s="250"/>
      <c r="U169" s="255"/>
      <c r="V169" s="222">
        <f t="shared" si="8"/>
        <v>0</v>
      </c>
      <c r="W169" s="228">
        <f t="shared" si="9"/>
        <v>0</v>
      </c>
      <c r="X169" s="222">
        <f>U169*C92</f>
        <v>0</v>
      </c>
      <c r="Y169" s="222">
        <f t="shared" si="10"/>
        <v>0</v>
      </c>
      <c r="Z169" s="231">
        <f t="shared" si="11"/>
        <v>0</v>
      </c>
      <c r="AA169" s="231"/>
    </row>
    <row r="170" spans="1:29" hidden="1" x14ac:dyDescent="0.25">
      <c r="A170" s="113" t="s">
        <v>170</v>
      </c>
      <c r="B170" s="174" t="s">
        <v>166</v>
      </c>
      <c r="E170" s="164"/>
      <c r="F170" s="162"/>
      <c r="G170" s="164"/>
      <c r="H170" s="168"/>
      <c r="I170" s="3">
        <f>G170*H170</f>
        <v>0</v>
      </c>
      <c r="J170" s="39">
        <f>I170*C4</f>
        <v>0</v>
      </c>
      <c r="K170" s="239"/>
      <c r="L170" s="239"/>
      <c r="M170" s="239"/>
      <c r="N170" s="239"/>
      <c r="O170" s="239"/>
      <c r="P170" s="239"/>
      <c r="Q170" s="239"/>
      <c r="R170" s="239"/>
      <c r="S170" s="239"/>
      <c r="T170" s="250"/>
      <c r="U170" s="255"/>
      <c r="V170" s="222">
        <f t="shared" si="8"/>
        <v>0</v>
      </c>
      <c r="W170" s="228">
        <f t="shared" si="9"/>
        <v>0</v>
      </c>
      <c r="X170" s="222">
        <f>U170*C93</f>
        <v>0</v>
      </c>
      <c r="Y170" s="222">
        <f t="shared" si="10"/>
        <v>0</v>
      </c>
      <c r="Z170" s="231">
        <f t="shared" si="11"/>
        <v>0</v>
      </c>
      <c r="AA170" s="231"/>
    </row>
    <row r="171" spans="1:29" hidden="1" x14ac:dyDescent="0.25">
      <c r="A171" s="103"/>
      <c r="B171" s="174"/>
      <c r="E171" s="175"/>
      <c r="F171" s="176"/>
      <c r="G171" s="175"/>
      <c r="H171" s="177"/>
      <c r="I171" s="3"/>
      <c r="J171" s="39"/>
      <c r="K171" s="239"/>
      <c r="L171" s="239"/>
      <c r="M171" s="239"/>
      <c r="N171" s="239"/>
      <c r="O171" s="239"/>
      <c r="P171" s="239"/>
      <c r="Q171" s="239"/>
      <c r="R171" s="239"/>
      <c r="S171" s="239"/>
      <c r="T171" s="250"/>
      <c r="U171" s="255"/>
      <c r="V171" s="222">
        <f t="shared" si="8"/>
        <v>0</v>
      </c>
      <c r="W171" s="228">
        <f t="shared" si="9"/>
        <v>0</v>
      </c>
      <c r="X171" s="222">
        <f>U171*C94</f>
        <v>0</v>
      </c>
      <c r="Y171" s="222">
        <f t="shared" si="10"/>
        <v>0</v>
      </c>
      <c r="Z171" s="231">
        <f t="shared" si="11"/>
        <v>0</v>
      </c>
      <c r="AA171" s="231"/>
    </row>
    <row r="172" spans="1:29" ht="13.8" thickBot="1" x14ac:dyDescent="0.3">
      <c r="A172" s="103"/>
      <c r="B172" s="150" t="s">
        <v>167</v>
      </c>
      <c r="E172" s="175"/>
      <c r="F172" s="176"/>
      <c r="G172" s="175"/>
      <c r="H172" s="177"/>
      <c r="I172" s="36" t="e">
        <f>#REF!+#REF!+#REF!+#REF!+#REF!</f>
        <v>#REF!</v>
      </c>
      <c r="J172" s="36">
        <f>SUM('DSPR- J'!G234,'DSPR-L'!G235,'HEKS-L'!G230,'IOCC-J'!G233,'IOCC-L'!G182,'IOCC-S'!G188,'LWF-J'!G253,'LWF-S'!G216,'MECC-L'!G226,'MECC-S'!G228)</f>
        <v>13425.588</v>
      </c>
      <c r="K172" s="241"/>
      <c r="L172" s="241"/>
      <c r="M172" s="241"/>
      <c r="N172" s="241"/>
      <c r="O172" s="241"/>
      <c r="P172" s="241"/>
      <c r="Q172" s="241"/>
      <c r="R172" s="241"/>
      <c r="S172" s="241"/>
      <c r="T172" s="252"/>
      <c r="U172" s="262"/>
      <c r="V172" s="222" t="e">
        <f t="shared" si="8"/>
        <v>#REF!</v>
      </c>
      <c r="W172" s="228" t="e">
        <f t="shared" si="9"/>
        <v>#REF!</v>
      </c>
      <c r="X172" s="222">
        <f>U172*C4</f>
        <v>0</v>
      </c>
      <c r="Y172" s="222">
        <f t="shared" si="10"/>
        <v>-13425.588</v>
      </c>
      <c r="Z172" s="231">
        <f t="shared" si="11"/>
        <v>-1</v>
      </c>
      <c r="AA172" s="231"/>
    </row>
    <row r="173" spans="1:29" ht="13.8" thickTop="1" x14ac:dyDescent="0.25">
      <c r="A173" s="103"/>
      <c r="B173" s="150"/>
      <c r="E173" s="126"/>
      <c r="F173" s="122"/>
      <c r="G173" s="126"/>
      <c r="H173" s="127"/>
      <c r="I173" s="173"/>
      <c r="J173" s="173"/>
      <c r="K173" s="241"/>
      <c r="L173" s="241"/>
      <c r="M173" s="241"/>
      <c r="N173" s="241"/>
      <c r="O173" s="241"/>
      <c r="P173" s="241"/>
      <c r="Q173" s="241"/>
      <c r="R173" s="241"/>
      <c r="S173" s="241"/>
      <c r="T173" s="252"/>
      <c r="U173" s="258"/>
      <c r="V173" s="222"/>
      <c r="W173" s="228"/>
      <c r="X173" s="222"/>
      <c r="Y173" s="222"/>
      <c r="Z173" s="231"/>
      <c r="AA173" s="231"/>
      <c r="AB173" s="81"/>
    </row>
    <row r="174" spans="1:29" ht="13.8" thickBot="1" x14ac:dyDescent="0.3">
      <c r="A174" s="180"/>
      <c r="B174" s="181" t="s">
        <v>53</v>
      </c>
      <c r="C174" s="181"/>
      <c r="D174" s="181"/>
      <c r="E174" s="182"/>
      <c r="F174" s="183"/>
      <c r="G174" s="182"/>
      <c r="H174" s="184"/>
      <c r="I174" s="40" t="e">
        <f>#REF!+#REF!+#REF!+#REF!+#REF!</f>
        <v>#REF!</v>
      </c>
      <c r="J174" s="40">
        <f>SUM('DSPR- J'!G236,'DSPR-L'!G237,'HEKS-L'!G232,'IOCC-J'!G235,'IOCC-L'!G189,'IOCC-S'!G190,'LWF-J'!G256,'LWF-S'!G218,'MECC-L'!G228,'MECC-S'!G230)</f>
        <v>7311253.8795899078</v>
      </c>
      <c r="K174" s="241"/>
      <c r="L174" s="241"/>
      <c r="M174" s="241"/>
      <c r="N174" s="241"/>
      <c r="O174" s="241"/>
      <c r="P174" s="241"/>
      <c r="Q174" s="241"/>
      <c r="R174" s="241"/>
      <c r="S174" s="241"/>
      <c r="T174" s="252"/>
      <c r="U174" s="262"/>
      <c r="V174" s="223" t="e">
        <f t="shared" si="8"/>
        <v>#REF!</v>
      </c>
      <c r="W174" s="233" t="e">
        <f t="shared" si="9"/>
        <v>#REF!</v>
      </c>
      <c r="X174" s="223">
        <f>U174*C4</f>
        <v>0</v>
      </c>
      <c r="Y174" s="223">
        <f t="shared" si="10"/>
        <v>-7311253.8795899078</v>
      </c>
      <c r="Z174" s="233">
        <f t="shared" si="11"/>
        <v>-1</v>
      </c>
      <c r="AA174" s="233"/>
      <c r="AC174" s="780"/>
    </row>
    <row r="175" spans="1:29" ht="13.8" thickTop="1" x14ac:dyDescent="0.25">
      <c r="B175" s="91"/>
      <c r="F175" s="75"/>
      <c r="I175" s="34"/>
      <c r="K175" s="239"/>
      <c r="L175" s="239"/>
      <c r="M175" s="239"/>
      <c r="N175" s="239"/>
      <c r="O175" s="239"/>
      <c r="P175" s="239"/>
      <c r="Q175" s="239"/>
      <c r="R175" s="239"/>
      <c r="S175" s="239"/>
      <c r="T175" s="250"/>
      <c r="U175" s="256"/>
      <c r="V175" s="222"/>
      <c r="W175" s="228"/>
      <c r="X175" s="222"/>
      <c r="Y175" s="222"/>
      <c r="Z175" s="231"/>
      <c r="AA175" s="231"/>
    </row>
    <row r="176" spans="1:29" x14ac:dyDescent="0.25">
      <c r="A176" s="74" t="s">
        <v>61</v>
      </c>
      <c r="F176" s="75"/>
      <c r="I176" s="34"/>
      <c r="K176" s="239"/>
      <c r="L176" s="239"/>
      <c r="M176" s="239"/>
      <c r="N176" s="239"/>
      <c r="O176" s="239"/>
      <c r="P176" s="239"/>
      <c r="Q176" s="239"/>
      <c r="R176" s="239"/>
      <c r="S176" s="239"/>
      <c r="T176" s="250"/>
      <c r="U176" s="256"/>
      <c r="V176" s="222"/>
      <c r="W176" s="228"/>
      <c r="X176" s="222"/>
      <c r="Y176" s="222"/>
      <c r="Z176" s="231"/>
      <c r="AA176" s="231"/>
    </row>
    <row r="177" spans="1:29" x14ac:dyDescent="0.25">
      <c r="A177" s="74" t="s">
        <v>18</v>
      </c>
      <c r="B177" s="185" t="s">
        <v>9</v>
      </c>
      <c r="F177" s="75"/>
      <c r="I177" s="34"/>
      <c r="K177" s="239"/>
      <c r="L177" s="239"/>
      <c r="M177" s="239"/>
      <c r="N177" s="239"/>
      <c r="O177" s="239"/>
      <c r="P177" s="239"/>
      <c r="Q177" s="239"/>
      <c r="R177" s="239"/>
      <c r="S177" s="239"/>
      <c r="T177" s="250"/>
      <c r="U177" s="256"/>
      <c r="V177" s="222"/>
      <c r="W177" s="228"/>
      <c r="X177" s="222"/>
      <c r="Y177" s="222"/>
      <c r="Z177" s="231"/>
      <c r="AA177" s="231"/>
    </row>
    <row r="178" spans="1:29" x14ac:dyDescent="0.25">
      <c r="B178" s="141" t="s">
        <v>37</v>
      </c>
      <c r="E178" s="164"/>
      <c r="F178" s="162"/>
      <c r="G178" s="164"/>
      <c r="H178" s="168"/>
      <c r="I178" s="34">
        <f>G178*H178</f>
        <v>0</v>
      </c>
      <c r="J178" s="35">
        <f>SUM('DSPR- J'!G240,'DSPR-L'!G241,'HEKS-L'!G236,'IOCC-J'!G240,'IOCC-L'!G193,'IOCC-S'!G194,'LWF-J'!G260,'LWF-S'!G222,'MECC-L'!G232,'MECC-S'!G234)</f>
        <v>211223.06399762712</v>
      </c>
      <c r="K178" s="239"/>
      <c r="L178" s="239"/>
      <c r="M178" s="239"/>
      <c r="N178" s="239"/>
      <c r="O178" s="239"/>
      <c r="P178" s="239"/>
      <c r="Q178" s="239"/>
      <c r="R178" s="239"/>
      <c r="S178" s="239"/>
      <c r="T178" s="250"/>
      <c r="U178" s="261"/>
      <c r="V178" s="222">
        <f t="shared" si="8"/>
        <v>0</v>
      </c>
      <c r="W178" s="228">
        <f t="shared" si="9"/>
        <v>0</v>
      </c>
      <c r="X178" s="222">
        <f>U178*C4</f>
        <v>0</v>
      </c>
      <c r="Y178" s="222">
        <f t="shared" si="10"/>
        <v>-211223.06399762712</v>
      </c>
      <c r="Z178" s="231">
        <f t="shared" si="11"/>
        <v>-1</v>
      </c>
      <c r="AA178" s="231"/>
    </row>
    <row r="179" spans="1:29" x14ac:dyDescent="0.25">
      <c r="B179" s="141" t="s">
        <v>38</v>
      </c>
      <c r="E179" s="164"/>
      <c r="F179" s="162"/>
      <c r="G179" s="164"/>
      <c r="H179" s="168"/>
      <c r="I179" s="34">
        <f>G179*H179</f>
        <v>0</v>
      </c>
      <c r="J179" s="35">
        <f>SUM('DSPR- J'!G241,'DSPR-L'!G242,'HEKS-L'!G237,'IOCC-J'!G241,'IOCC-L'!G194,'IOCC-S'!G195,'LWF-J'!G261,'LWF-S'!G223,'MECC-L'!G233,'MECC-S'!G235)</f>
        <v>150565.12028398307</v>
      </c>
      <c r="K179" s="239"/>
      <c r="L179" s="239"/>
      <c r="M179" s="239"/>
      <c r="N179" s="239"/>
      <c r="O179" s="239"/>
      <c r="P179" s="239"/>
      <c r="Q179" s="239"/>
      <c r="R179" s="239"/>
      <c r="S179" s="239"/>
      <c r="T179" s="250"/>
      <c r="U179" s="261"/>
      <c r="V179" s="222">
        <f t="shared" si="8"/>
        <v>0</v>
      </c>
      <c r="W179" s="228">
        <f t="shared" si="9"/>
        <v>0</v>
      </c>
      <c r="X179" s="222">
        <f>U179*C4</f>
        <v>0</v>
      </c>
      <c r="Y179" s="222">
        <f t="shared" si="10"/>
        <v>-150565.12028398307</v>
      </c>
      <c r="Z179" s="231">
        <f t="shared" si="11"/>
        <v>-1</v>
      </c>
      <c r="AA179" s="231"/>
    </row>
    <row r="180" spans="1:29" ht="26.4" x14ac:dyDescent="0.25">
      <c r="B180" s="153" t="s">
        <v>63</v>
      </c>
      <c r="E180" s="164"/>
      <c r="F180" s="162"/>
      <c r="G180" s="164"/>
      <c r="H180" s="168"/>
      <c r="I180" s="34">
        <f>G180*H180</f>
        <v>0</v>
      </c>
      <c r="J180" s="35">
        <f>SUM('DSPR- J'!G242:G243,'DSPR-L'!G243,'HEKS-L'!G238,'IOCC-J'!G242:G243,'IOCC-L'!G195:G203,'IOCC-S'!G196:G197,'LWF-J'!G262:G263,'LWF-S'!G224,'MECC-L'!G234:G237,'MECC-S'!G236:G240)</f>
        <v>247339.43554146186</v>
      </c>
      <c r="K180" s="239"/>
      <c r="L180" s="239"/>
      <c r="M180" s="239"/>
      <c r="N180" s="239"/>
      <c r="O180" s="239"/>
      <c r="P180" s="239"/>
      <c r="Q180" s="239"/>
      <c r="R180" s="239"/>
      <c r="S180" s="239"/>
      <c r="T180" s="250"/>
      <c r="U180" s="261"/>
      <c r="V180" s="222">
        <f t="shared" si="8"/>
        <v>0</v>
      </c>
      <c r="W180" s="228">
        <f t="shared" si="9"/>
        <v>0</v>
      </c>
      <c r="X180" s="222">
        <f>U180*C4</f>
        <v>0</v>
      </c>
      <c r="Y180" s="222">
        <f t="shared" si="10"/>
        <v>-247339.43554146186</v>
      </c>
      <c r="Z180" s="231">
        <f t="shared" si="11"/>
        <v>-1</v>
      </c>
      <c r="AA180" s="231"/>
    </row>
    <row r="181" spans="1:29" x14ac:dyDescent="0.25">
      <c r="B181" s="186" t="s">
        <v>39</v>
      </c>
      <c r="F181" s="75"/>
      <c r="I181" s="34"/>
      <c r="K181" s="239"/>
      <c r="L181" s="239"/>
      <c r="M181" s="239"/>
      <c r="N181" s="239"/>
      <c r="O181" s="239"/>
      <c r="P181" s="239"/>
      <c r="Q181" s="239"/>
      <c r="R181" s="239"/>
      <c r="S181" s="239"/>
      <c r="T181" s="250"/>
      <c r="U181" s="256"/>
      <c r="V181" s="222"/>
      <c r="W181" s="228"/>
      <c r="X181" s="222"/>
      <c r="Y181" s="222"/>
      <c r="Z181" s="231"/>
      <c r="AA181" s="231"/>
    </row>
    <row r="182" spans="1:29" x14ac:dyDescent="0.25">
      <c r="B182" s="141" t="s">
        <v>40</v>
      </c>
      <c r="E182" s="164"/>
      <c r="F182" s="162"/>
      <c r="G182" s="164"/>
      <c r="H182" s="168"/>
      <c r="I182" s="34">
        <f>G182*H182</f>
        <v>0</v>
      </c>
      <c r="J182" s="35">
        <f>SUM('DSPR- J'!G245,'DSPR-L'!G245,'HEKS-L'!G240,'IOCC-J'!G245,'IOCC-L'!G205,'IOCC-S'!G200,'LWF-J'!G265,'LWF-S'!G226,'MECC-L'!G239,'MECC-S'!G242)</f>
        <v>66144.914964610172</v>
      </c>
      <c r="K182" s="239"/>
      <c r="L182" s="239"/>
      <c r="M182" s="239"/>
      <c r="N182" s="239"/>
      <c r="O182" s="239"/>
      <c r="P182" s="239"/>
      <c r="Q182" s="239"/>
      <c r="R182" s="239"/>
      <c r="S182" s="239"/>
      <c r="T182" s="250"/>
      <c r="U182" s="261"/>
      <c r="V182" s="222">
        <f t="shared" si="8"/>
        <v>0</v>
      </c>
      <c r="W182" s="228">
        <f t="shared" si="9"/>
        <v>0</v>
      </c>
      <c r="X182" s="222">
        <f>U182*C4</f>
        <v>0</v>
      </c>
      <c r="Y182" s="222">
        <f t="shared" si="10"/>
        <v>-66144.914964610172</v>
      </c>
      <c r="Z182" s="231">
        <f t="shared" si="11"/>
        <v>-1</v>
      </c>
      <c r="AA182" s="231"/>
    </row>
    <row r="183" spans="1:29" x14ac:dyDescent="0.25">
      <c r="B183" s="141" t="s">
        <v>41</v>
      </c>
      <c r="E183" s="164"/>
      <c r="F183" s="162"/>
      <c r="G183" s="164"/>
      <c r="H183" s="168"/>
      <c r="I183" s="34">
        <f>G183*H183</f>
        <v>0</v>
      </c>
      <c r="J183" s="35">
        <f>SUM('DSPR- J'!G246,'DSPR-L'!G246,'HEKS-L'!G241,'IOCC-J'!G246,'IOCC-L'!G206,'IOCC-S'!G201,'LWF-J'!G266,'LWF-S'!G227,'MECC-L'!G240,'MECC-S'!G243)</f>
        <v>27959.591654237291</v>
      </c>
      <c r="K183" s="239"/>
      <c r="L183" s="239"/>
      <c r="M183" s="239"/>
      <c r="N183" s="239"/>
      <c r="O183" s="239"/>
      <c r="P183" s="239"/>
      <c r="Q183" s="239"/>
      <c r="R183" s="239"/>
      <c r="S183" s="239"/>
      <c r="T183" s="250"/>
      <c r="U183" s="261"/>
      <c r="V183" s="222">
        <f t="shared" si="8"/>
        <v>0</v>
      </c>
      <c r="W183" s="228">
        <f t="shared" si="9"/>
        <v>0</v>
      </c>
      <c r="X183" s="222">
        <f>U183*C4</f>
        <v>0</v>
      </c>
      <c r="Y183" s="222">
        <f t="shared" si="10"/>
        <v>-27959.591654237291</v>
      </c>
      <c r="Z183" s="231">
        <f t="shared" si="11"/>
        <v>-1</v>
      </c>
      <c r="AA183" s="231"/>
    </row>
    <row r="184" spans="1:29" x14ac:dyDescent="0.25">
      <c r="B184" s="141" t="s">
        <v>42</v>
      </c>
      <c r="E184" s="164"/>
      <c r="F184" s="162"/>
      <c r="G184" s="164"/>
      <c r="H184" s="168"/>
      <c r="I184" s="34">
        <f>G184*H184</f>
        <v>0</v>
      </c>
      <c r="J184" s="35">
        <f>SUM('DSPR- J'!G247,'DSPR-L'!G247,'HEKS-L'!G242,'IOCC-J'!G247,'IOCC-L'!G207,'IOCC-S'!G202,'LWF-J'!G267,'LWF-S'!G228,'MECC-L'!G241,'MECC-S'!G244)</f>
        <v>21485.314784406779</v>
      </c>
      <c r="K184" s="239"/>
      <c r="L184" s="239"/>
      <c r="M184" s="239"/>
      <c r="N184" s="239"/>
      <c r="O184" s="239"/>
      <c r="P184" s="239"/>
      <c r="Q184" s="239"/>
      <c r="R184" s="239"/>
      <c r="S184" s="239"/>
      <c r="T184" s="250"/>
      <c r="U184" s="261"/>
      <c r="V184" s="222">
        <f t="shared" si="8"/>
        <v>0</v>
      </c>
      <c r="W184" s="228">
        <f t="shared" si="9"/>
        <v>0</v>
      </c>
      <c r="X184" s="222">
        <f>U184*C4</f>
        <v>0</v>
      </c>
      <c r="Y184" s="222">
        <f t="shared" si="10"/>
        <v>-21485.314784406779</v>
      </c>
      <c r="Z184" s="231">
        <f t="shared" si="11"/>
        <v>-1</v>
      </c>
      <c r="AA184" s="231"/>
    </row>
    <row r="185" spans="1:29" x14ac:dyDescent="0.25">
      <c r="B185" s="186" t="s">
        <v>43</v>
      </c>
      <c r="F185" s="75"/>
      <c r="I185" s="34"/>
      <c r="K185" s="239"/>
      <c r="L185" s="239"/>
      <c r="M185" s="239"/>
      <c r="N185" s="239"/>
      <c r="O185" s="239"/>
      <c r="P185" s="239"/>
      <c r="Q185" s="239"/>
      <c r="R185" s="239"/>
      <c r="S185" s="239"/>
      <c r="T185" s="250"/>
      <c r="U185" s="256"/>
      <c r="V185" s="222"/>
      <c r="W185" s="228"/>
      <c r="X185" s="222"/>
      <c r="Y185" s="222"/>
      <c r="Z185" s="231"/>
      <c r="AA185" s="231"/>
    </row>
    <row r="186" spans="1:29" x14ac:dyDescent="0.25">
      <c r="B186" s="141" t="s">
        <v>44</v>
      </c>
      <c r="E186" s="164"/>
      <c r="F186" s="162"/>
      <c r="G186" s="164"/>
      <c r="H186" s="168"/>
      <c r="I186" s="34">
        <f>G186*H186</f>
        <v>0</v>
      </c>
      <c r="J186" s="35">
        <f>SUM('DSPR- J'!G249,'DSPR-L'!G249,'HEKS-L'!G244,'IOCC-J'!G249,'IOCC-L'!G209,'IOCC-S'!G204,'LWF-J'!G269,'LWF-S'!G230,'MECC-L'!G243,'MECC-S'!G246)</f>
        <v>23554.124249152545</v>
      </c>
      <c r="K186" s="239"/>
      <c r="L186" s="239"/>
      <c r="M186" s="239"/>
      <c r="N186" s="239"/>
      <c r="O186" s="239"/>
      <c r="P186" s="239"/>
      <c r="Q186" s="239"/>
      <c r="R186" s="239"/>
      <c r="S186" s="239"/>
      <c r="T186" s="250"/>
      <c r="U186" s="261"/>
      <c r="V186" s="222">
        <f t="shared" si="8"/>
        <v>0</v>
      </c>
      <c r="W186" s="228">
        <f t="shared" si="9"/>
        <v>0</v>
      </c>
      <c r="X186" s="222">
        <f>U186*C4</f>
        <v>0</v>
      </c>
      <c r="Y186" s="222">
        <f t="shared" si="10"/>
        <v>-23554.124249152545</v>
      </c>
      <c r="Z186" s="231">
        <f t="shared" si="11"/>
        <v>-1</v>
      </c>
      <c r="AA186" s="231"/>
    </row>
    <row r="187" spans="1:29" x14ac:dyDescent="0.25">
      <c r="B187" s="186" t="s">
        <v>45</v>
      </c>
      <c r="E187" s="35"/>
      <c r="F187" s="35"/>
      <c r="G187" s="35"/>
      <c r="H187" s="35"/>
      <c r="I187" s="172"/>
      <c r="K187" s="239"/>
      <c r="L187" s="239"/>
      <c r="M187" s="239"/>
      <c r="N187" s="239"/>
      <c r="O187" s="239"/>
      <c r="P187" s="239"/>
      <c r="Q187" s="239"/>
      <c r="R187" s="239"/>
      <c r="S187" s="239"/>
      <c r="T187" s="250"/>
      <c r="U187" s="256"/>
      <c r="V187" s="222"/>
      <c r="W187" s="228"/>
      <c r="X187" s="222"/>
      <c r="Y187" s="222"/>
      <c r="Z187" s="231"/>
      <c r="AA187" s="231"/>
    </row>
    <row r="188" spans="1:29" x14ac:dyDescent="0.25">
      <c r="B188" s="141" t="s">
        <v>896</v>
      </c>
      <c r="E188" s="164"/>
      <c r="F188" s="162"/>
      <c r="G188" s="164"/>
      <c r="H188" s="168"/>
      <c r="I188" s="34">
        <f>G188*H188</f>
        <v>0</v>
      </c>
      <c r="J188" s="35">
        <f>SUM('DSPR- J'!G251,'DSPR-L'!G251,'HEKS-L'!G246,'IOCC-J'!G251:G254,'IOCC-L'!G211:G213,'IOCC-S'!G206,'LWF-J'!G271,'LWF-S'!G232:G233,'MECC-L'!G245,'MECC-S'!G248)</f>
        <v>36009.886737853107</v>
      </c>
      <c r="K188" s="239"/>
      <c r="L188" s="239"/>
      <c r="M188" s="239"/>
      <c r="N188" s="239"/>
      <c r="O188" s="239"/>
      <c r="P188" s="239"/>
      <c r="Q188" s="239"/>
      <c r="R188" s="239"/>
      <c r="S188" s="239"/>
      <c r="T188" s="250"/>
      <c r="U188" s="261"/>
      <c r="V188" s="222">
        <f t="shared" si="8"/>
        <v>0</v>
      </c>
      <c r="W188" s="228">
        <f t="shared" si="9"/>
        <v>0</v>
      </c>
      <c r="X188" s="222">
        <f>U188*C4</f>
        <v>0</v>
      </c>
      <c r="Y188" s="222">
        <f t="shared" si="10"/>
        <v>-36009.886737853107</v>
      </c>
      <c r="Z188" s="231">
        <f t="shared" si="11"/>
        <v>-1</v>
      </c>
      <c r="AA188" s="231"/>
    </row>
    <row r="189" spans="1:29" x14ac:dyDescent="0.25">
      <c r="B189" s="153"/>
      <c r="I189" s="34"/>
      <c r="K189" s="239"/>
      <c r="L189" s="239"/>
      <c r="M189" s="239"/>
      <c r="N189" s="239"/>
      <c r="O189" s="239"/>
      <c r="P189" s="239"/>
      <c r="Q189" s="239"/>
      <c r="R189" s="239"/>
      <c r="S189" s="239"/>
      <c r="T189" s="250"/>
      <c r="U189" s="256"/>
      <c r="V189" s="222"/>
      <c r="W189" s="228"/>
      <c r="X189" s="222"/>
      <c r="Y189" s="222"/>
      <c r="Z189" s="231"/>
      <c r="AA189" s="231"/>
    </row>
    <row r="190" spans="1:29" x14ac:dyDescent="0.25">
      <c r="A190" s="181"/>
      <c r="B190" s="181" t="s">
        <v>62</v>
      </c>
      <c r="C190" s="183"/>
      <c r="D190" s="182"/>
      <c r="E190" s="182"/>
      <c r="F190" s="182"/>
      <c r="G190" s="182"/>
      <c r="H190" s="184"/>
      <c r="I190" s="41">
        <f>SUM(I178+I179+I180+I182+I183+I184+I186+I188)</f>
        <v>0</v>
      </c>
      <c r="J190" s="42">
        <f>SUM(J178+J179+J180+J182+J183+J184+J186+J188)</f>
        <v>784281.45221333182</v>
      </c>
      <c r="K190" s="243"/>
      <c r="L190" s="243"/>
      <c r="M190" s="243"/>
      <c r="N190" s="243"/>
      <c r="O190" s="243"/>
      <c r="P190" s="243"/>
      <c r="Q190" s="243"/>
      <c r="R190" s="243"/>
      <c r="S190" s="243"/>
      <c r="T190" s="254"/>
      <c r="U190" s="264"/>
      <c r="V190" s="224">
        <f t="shared" si="8"/>
        <v>0</v>
      </c>
      <c r="W190" s="230">
        <f t="shared" si="9"/>
        <v>0</v>
      </c>
      <c r="X190" s="224">
        <f>U190*C4</f>
        <v>0</v>
      </c>
      <c r="Y190" s="224">
        <f t="shared" si="10"/>
        <v>-784281.45221333182</v>
      </c>
      <c r="Z190" s="230">
        <f t="shared" si="11"/>
        <v>-1</v>
      </c>
      <c r="AA190" s="230"/>
      <c r="AC190" s="783"/>
    </row>
    <row r="191" spans="1:29" x14ac:dyDescent="0.25">
      <c r="A191" s="150"/>
      <c r="B191" s="150"/>
      <c r="C191" s="122"/>
      <c r="D191" s="126"/>
      <c r="E191" s="126"/>
      <c r="F191" s="126"/>
      <c r="G191" s="126"/>
      <c r="H191" s="127"/>
      <c r="I191" s="43" t="e">
        <f>(I190/I193)</f>
        <v>#REF!</v>
      </c>
      <c r="J191" s="43">
        <f>(J190/J193)</f>
        <v>9.6878269326092489E-2</v>
      </c>
      <c r="K191" s="244"/>
      <c r="L191" s="245"/>
      <c r="M191" s="245"/>
      <c r="N191" s="245"/>
      <c r="O191" s="245"/>
      <c r="P191" s="245"/>
      <c r="Q191" s="245"/>
      <c r="R191" s="245"/>
      <c r="S191" s="245"/>
      <c r="T191" s="245"/>
      <c r="U191" s="225"/>
      <c r="V191" s="225"/>
      <c r="W191" s="225"/>
      <c r="X191" s="225"/>
      <c r="Y191" s="225"/>
      <c r="Z191" s="187" t="s">
        <v>186</v>
      </c>
      <c r="AA191" s="187"/>
      <c r="AB191" s="39"/>
    </row>
    <row r="192" spans="1:29" x14ac:dyDescent="0.25">
      <c r="I192" s="34"/>
      <c r="K192" s="239"/>
      <c r="L192" s="239"/>
      <c r="M192" s="239"/>
      <c r="N192" s="239"/>
      <c r="O192" s="239"/>
      <c r="P192" s="239"/>
      <c r="Q192" s="239"/>
      <c r="R192" s="239"/>
      <c r="S192" s="239"/>
      <c r="T192" s="239"/>
      <c r="U192" s="1"/>
      <c r="V192" s="1"/>
      <c r="W192" s="1"/>
      <c r="X192" s="1"/>
      <c r="Y192" s="1"/>
    </row>
    <row r="193" spans="1:25" ht="13.8" thickBot="1" x14ac:dyDescent="0.3">
      <c r="B193" s="74" t="s">
        <v>27</v>
      </c>
      <c r="I193" s="44" t="e">
        <f>SUM(I174+I190)</f>
        <v>#REF!</v>
      </c>
      <c r="J193" s="44">
        <f>J174+J190</f>
        <v>8095535.3318032399</v>
      </c>
      <c r="K193" s="241"/>
      <c r="L193" s="241"/>
      <c r="M193" s="241"/>
      <c r="N193" s="241"/>
      <c r="O193" s="241"/>
      <c r="P193" s="241"/>
      <c r="Q193" s="241"/>
      <c r="R193" s="241"/>
      <c r="S193" s="241"/>
      <c r="T193" s="241"/>
      <c r="U193" s="179"/>
      <c r="V193" s="179"/>
      <c r="W193" s="179"/>
      <c r="X193" s="179"/>
      <c r="Y193" s="179"/>
    </row>
    <row r="194" spans="1:25" ht="13.8" thickTop="1" x14ac:dyDescent="0.25">
      <c r="I194" s="34"/>
      <c r="J194" s="188"/>
      <c r="K194" s="246"/>
      <c r="L194" s="246"/>
      <c r="M194" s="246"/>
      <c r="N194" s="246"/>
      <c r="O194" s="246"/>
      <c r="P194" s="246"/>
      <c r="Q194" s="246"/>
      <c r="R194" s="246"/>
      <c r="S194" s="246"/>
      <c r="T194" s="246"/>
      <c r="U194" s="188"/>
      <c r="V194" s="188"/>
      <c r="W194" s="188"/>
      <c r="X194" s="188"/>
      <c r="Y194" s="188"/>
    </row>
    <row r="195" spans="1:25" x14ac:dyDescent="0.25">
      <c r="A195" s="74" t="s">
        <v>36</v>
      </c>
      <c r="B195" s="39"/>
      <c r="I195" s="1" t="e">
        <f>I193*0.03</f>
        <v>#REF!</v>
      </c>
      <c r="J195" s="1">
        <f>J193*0.03</f>
        <v>242866.05995409717</v>
      </c>
      <c r="K195" s="239"/>
      <c r="L195" s="239"/>
      <c r="M195" s="239"/>
      <c r="N195" s="239"/>
      <c r="O195" s="239"/>
      <c r="P195" s="239"/>
      <c r="Q195" s="239"/>
      <c r="R195" s="239"/>
      <c r="S195" s="239"/>
      <c r="T195" s="239"/>
      <c r="U195" s="1"/>
      <c r="V195" s="1"/>
      <c r="W195" s="1"/>
      <c r="X195" s="1"/>
      <c r="Y195" s="1"/>
    </row>
    <row r="196" spans="1:25" x14ac:dyDescent="0.25">
      <c r="I196" s="34"/>
      <c r="K196" s="239"/>
      <c r="L196" s="239"/>
      <c r="M196" s="239"/>
      <c r="N196" s="239"/>
      <c r="O196" s="239"/>
      <c r="P196" s="239"/>
      <c r="Q196" s="239"/>
      <c r="R196" s="239"/>
      <c r="S196" s="239"/>
      <c r="T196" s="239"/>
      <c r="U196" s="1"/>
      <c r="V196" s="1"/>
      <c r="W196" s="1"/>
      <c r="X196" s="1"/>
      <c r="Y196" s="1"/>
    </row>
    <row r="197" spans="1:25" ht="13.8" thickBot="1" x14ac:dyDescent="0.3">
      <c r="A197" s="117"/>
      <c r="B197" s="117" t="s">
        <v>28</v>
      </c>
      <c r="C197" s="118"/>
      <c r="D197" s="189"/>
      <c r="E197" s="189"/>
      <c r="F197" s="189"/>
      <c r="G197" s="189"/>
      <c r="H197" s="190"/>
      <c r="I197" s="29" t="e">
        <f>SUM(I195+I193)</f>
        <v>#REF!</v>
      </c>
      <c r="J197" s="29">
        <f>SUM(J195+J193)</f>
        <v>8338401.3917573374</v>
      </c>
      <c r="K197" s="247"/>
      <c r="L197" s="247"/>
      <c r="M197" s="247"/>
      <c r="N197" s="247"/>
      <c r="O197" s="247"/>
      <c r="P197" s="247"/>
      <c r="Q197" s="247"/>
      <c r="R197" s="247"/>
      <c r="S197" s="247"/>
      <c r="T197" s="247"/>
      <c r="U197" s="121"/>
      <c r="V197" s="121"/>
      <c r="W197" s="121"/>
      <c r="X197" s="121"/>
      <c r="Y197" s="121"/>
    </row>
    <row r="198" spans="1:25" x14ac:dyDescent="0.25">
      <c r="I198" s="34"/>
      <c r="K198" s="239"/>
      <c r="L198" s="239"/>
      <c r="M198" s="239"/>
      <c r="N198" s="239"/>
      <c r="O198" s="239"/>
      <c r="P198" s="239"/>
      <c r="Q198" s="239"/>
      <c r="R198" s="239"/>
      <c r="S198" s="239"/>
      <c r="T198" s="239"/>
      <c r="U198" s="1"/>
      <c r="V198" s="1"/>
      <c r="W198" s="1"/>
      <c r="X198" s="1"/>
      <c r="Y198" s="1"/>
    </row>
    <row r="199" spans="1:25" ht="13.8" thickBot="1" x14ac:dyDescent="0.3">
      <c r="A199" s="191" t="s">
        <v>24</v>
      </c>
      <c r="B199" s="192"/>
      <c r="C199" s="193"/>
      <c r="D199" s="194"/>
      <c r="E199" s="194"/>
      <c r="F199" s="194"/>
      <c r="G199" s="194"/>
      <c r="H199" s="195"/>
      <c r="I199" s="45" t="e">
        <f>SUM(I197-I73)</f>
        <v>#REF!</v>
      </c>
      <c r="J199" s="45">
        <f>SUM(J197-J73)</f>
        <v>8338401.3917573374</v>
      </c>
      <c r="K199" s="248"/>
      <c r="L199" s="248"/>
      <c r="M199" s="248"/>
      <c r="N199" s="248"/>
      <c r="O199" s="248"/>
      <c r="P199" s="248"/>
      <c r="Q199" s="248"/>
      <c r="R199" s="248"/>
      <c r="S199" s="248"/>
      <c r="T199" s="248"/>
      <c r="U199" s="226"/>
      <c r="V199" s="226"/>
      <c r="W199" s="226"/>
      <c r="X199" s="226"/>
      <c r="Y199" s="226"/>
    </row>
    <row r="200" spans="1:25" ht="13.8" thickTop="1" x14ac:dyDescent="0.25">
      <c r="I200" s="78"/>
    </row>
    <row r="201" spans="1:25" x14ac:dyDescent="0.25">
      <c r="I201" s="78"/>
    </row>
    <row r="202" spans="1:25" x14ac:dyDescent="0.25">
      <c r="A202" s="74" t="s">
        <v>15</v>
      </c>
      <c r="I202" s="78"/>
    </row>
    <row r="203" spans="1:25" x14ac:dyDescent="0.25">
      <c r="I203" s="78"/>
    </row>
    <row r="204" spans="1:25" ht="15" x14ac:dyDescent="0.4">
      <c r="B204" s="197" t="s">
        <v>16</v>
      </c>
      <c r="D204" s="198" t="s">
        <v>26</v>
      </c>
      <c r="E204" s="198"/>
      <c r="F204" s="198"/>
      <c r="G204" s="198"/>
      <c r="I204" s="850" t="s">
        <v>17</v>
      </c>
      <c r="J204" s="851"/>
      <c r="K204" s="199"/>
      <c r="L204" s="199"/>
      <c r="M204" s="199"/>
      <c r="N204" s="199"/>
      <c r="O204" s="199"/>
      <c r="P204" s="199"/>
      <c r="Q204" s="199"/>
      <c r="R204" s="199"/>
      <c r="S204" s="199"/>
      <c r="T204" s="199"/>
      <c r="U204" s="199"/>
      <c r="V204" s="199"/>
      <c r="W204" s="199"/>
      <c r="X204" s="199"/>
      <c r="Y204" s="199"/>
    </row>
    <row r="205" spans="1:25" ht="15" x14ac:dyDescent="0.4">
      <c r="D205" s="198"/>
      <c r="E205" s="198"/>
      <c r="F205" s="198"/>
      <c r="G205" s="198"/>
      <c r="I205" s="78"/>
    </row>
    <row r="206" spans="1:25" x14ac:dyDescent="0.25">
      <c r="I206" s="78"/>
    </row>
    <row r="207" spans="1:25" x14ac:dyDescent="0.25">
      <c r="I207" s="78"/>
    </row>
    <row r="208" spans="1:25" x14ac:dyDescent="0.25">
      <c r="I208" s="78"/>
    </row>
    <row r="209" spans="9:9" x14ac:dyDescent="0.25">
      <c r="I209" s="78"/>
    </row>
    <row r="210" spans="9:9" x14ac:dyDescent="0.25">
      <c r="I210" s="78"/>
    </row>
    <row r="211" spans="9:9" x14ac:dyDescent="0.25">
      <c r="I211" s="78"/>
    </row>
    <row r="212" spans="9:9" x14ac:dyDescent="0.25">
      <c r="I212" s="78"/>
    </row>
    <row r="213" spans="9:9" x14ac:dyDescent="0.25">
      <c r="I213" s="78"/>
    </row>
    <row r="214" spans="9:9" x14ac:dyDescent="0.25">
      <c r="I214" s="78"/>
    </row>
    <row r="215" spans="9:9" x14ac:dyDescent="0.25">
      <c r="I215" s="78"/>
    </row>
    <row r="216" spans="9:9" x14ac:dyDescent="0.25">
      <c r="I216" s="78"/>
    </row>
    <row r="217" spans="9:9" x14ac:dyDescent="0.25">
      <c r="I217" s="78"/>
    </row>
    <row r="218" spans="9:9" x14ac:dyDescent="0.25">
      <c r="I218" s="78"/>
    </row>
    <row r="219" spans="9:9" x14ac:dyDescent="0.25">
      <c r="I219" s="78"/>
    </row>
    <row r="220" spans="9:9" x14ac:dyDescent="0.25">
      <c r="I220" s="78"/>
    </row>
    <row r="221" spans="9:9" x14ac:dyDescent="0.25">
      <c r="I221" s="78"/>
    </row>
    <row r="222" spans="9:9" x14ac:dyDescent="0.25">
      <c r="I222" s="78"/>
    </row>
    <row r="223" spans="9:9" x14ac:dyDescent="0.25">
      <c r="I223" s="78"/>
    </row>
    <row r="224" spans="9:9" x14ac:dyDescent="0.25">
      <c r="I224" s="78"/>
    </row>
    <row r="225" spans="9:9" x14ac:dyDescent="0.25">
      <c r="I225" s="78"/>
    </row>
    <row r="226" spans="9:9" x14ac:dyDescent="0.25">
      <c r="I226" s="78"/>
    </row>
    <row r="227" spans="9:9" x14ac:dyDescent="0.25">
      <c r="I227" s="78"/>
    </row>
    <row r="228" spans="9:9" x14ac:dyDescent="0.25">
      <c r="I228" s="78"/>
    </row>
    <row r="229" spans="9:9" x14ac:dyDescent="0.25">
      <c r="I229" s="78"/>
    </row>
    <row r="230" spans="9:9" x14ac:dyDescent="0.25">
      <c r="I230" s="78"/>
    </row>
    <row r="231" spans="9:9" x14ac:dyDescent="0.25">
      <c r="I231" s="78"/>
    </row>
    <row r="232" spans="9:9" x14ac:dyDescent="0.25">
      <c r="I232" s="78"/>
    </row>
    <row r="233" spans="9:9" x14ac:dyDescent="0.25">
      <c r="I233" s="78"/>
    </row>
    <row r="234" spans="9:9" x14ac:dyDescent="0.25">
      <c r="I234" s="78"/>
    </row>
    <row r="235" spans="9:9" x14ac:dyDescent="0.25">
      <c r="I235" s="78"/>
    </row>
    <row r="236" spans="9:9" x14ac:dyDescent="0.25">
      <c r="I236" s="78"/>
    </row>
    <row r="237" spans="9:9" x14ac:dyDescent="0.25">
      <c r="I237" s="78"/>
    </row>
    <row r="238" spans="9:9" x14ac:dyDescent="0.25">
      <c r="I238" s="78"/>
    </row>
    <row r="239" spans="9:9" x14ac:dyDescent="0.25">
      <c r="I239" s="78"/>
    </row>
    <row r="240" spans="9:9" x14ac:dyDescent="0.25">
      <c r="I240" s="78"/>
    </row>
    <row r="241" spans="9:9" x14ac:dyDescent="0.25">
      <c r="I241" s="78"/>
    </row>
    <row r="242" spans="9:9" x14ac:dyDescent="0.25">
      <c r="I242" s="78"/>
    </row>
    <row r="243" spans="9:9" x14ac:dyDescent="0.25">
      <c r="I243" s="78"/>
    </row>
    <row r="244" spans="9:9" x14ac:dyDescent="0.25">
      <c r="I244" s="78"/>
    </row>
    <row r="245" spans="9:9" x14ac:dyDescent="0.25">
      <c r="I245" s="78"/>
    </row>
    <row r="246" spans="9:9" x14ac:dyDescent="0.25">
      <c r="I246" s="78"/>
    </row>
    <row r="247" spans="9:9" x14ac:dyDescent="0.25">
      <c r="I247" s="78"/>
    </row>
    <row r="248" spans="9:9" x14ac:dyDescent="0.25">
      <c r="I248" s="78"/>
    </row>
    <row r="249" spans="9:9" x14ac:dyDescent="0.25">
      <c r="I249" s="78"/>
    </row>
    <row r="250" spans="9:9" x14ac:dyDescent="0.25">
      <c r="I250" s="78"/>
    </row>
    <row r="251" spans="9:9" x14ac:dyDescent="0.25">
      <c r="I251" s="78"/>
    </row>
    <row r="252" spans="9:9" x14ac:dyDescent="0.25">
      <c r="I252" s="78"/>
    </row>
    <row r="253" spans="9:9" x14ac:dyDescent="0.25">
      <c r="I253" s="78"/>
    </row>
    <row r="254" spans="9:9" x14ac:dyDescent="0.25">
      <c r="I254" s="78"/>
    </row>
    <row r="255" spans="9:9" x14ac:dyDescent="0.25">
      <c r="I255" s="78"/>
    </row>
    <row r="256" spans="9:9" x14ac:dyDescent="0.25">
      <c r="I256" s="78"/>
    </row>
    <row r="257" spans="9:9" x14ac:dyDescent="0.25">
      <c r="I257" s="78"/>
    </row>
    <row r="258" spans="9:9" x14ac:dyDescent="0.25">
      <c r="I258" s="78"/>
    </row>
    <row r="259" spans="9:9" x14ac:dyDescent="0.25">
      <c r="I259" s="78"/>
    </row>
    <row r="260" spans="9:9" x14ac:dyDescent="0.25">
      <c r="I260" s="78"/>
    </row>
    <row r="261" spans="9:9" x14ac:dyDescent="0.25">
      <c r="I261" s="78"/>
    </row>
    <row r="262" spans="9:9" x14ac:dyDescent="0.25">
      <c r="I262" s="78"/>
    </row>
    <row r="263" spans="9:9" x14ac:dyDescent="0.25">
      <c r="I263" s="78"/>
    </row>
    <row r="264" spans="9:9" x14ac:dyDescent="0.25">
      <c r="I264" s="78"/>
    </row>
    <row r="265" spans="9:9" x14ac:dyDescent="0.25">
      <c r="I265" s="78"/>
    </row>
    <row r="266" spans="9:9" x14ac:dyDescent="0.25">
      <c r="I266" s="78"/>
    </row>
    <row r="267" spans="9:9" x14ac:dyDescent="0.25">
      <c r="I267" s="78"/>
    </row>
    <row r="268" spans="9:9" x14ac:dyDescent="0.25">
      <c r="I268" s="78"/>
    </row>
    <row r="269" spans="9:9" x14ac:dyDescent="0.25">
      <c r="I269" s="78"/>
    </row>
    <row r="270" spans="9:9" x14ac:dyDescent="0.25">
      <c r="I270" s="78"/>
    </row>
    <row r="271" spans="9:9" x14ac:dyDescent="0.25">
      <c r="I271" s="78"/>
    </row>
    <row r="272" spans="9:9" x14ac:dyDescent="0.25">
      <c r="I272" s="78"/>
    </row>
    <row r="273" spans="9:9" x14ac:dyDescent="0.25">
      <c r="I273" s="78"/>
    </row>
    <row r="274" spans="9:9" x14ac:dyDescent="0.25">
      <c r="I274" s="78"/>
    </row>
    <row r="275" spans="9:9" x14ac:dyDescent="0.25">
      <c r="I275" s="78"/>
    </row>
    <row r="276" spans="9:9" x14ac:dyDescent="0.25">
      <c r="I276" s="78"/>
    </row>
    <row r="277" spans="9:9" x14ac:dyDescent="0.25">
      <c r="I277" s="78"/>
    </row>
    <row r="278" spans="9:9" x14ac:dyDescent="0.25">
      <c r="I278" s="78"/>
    </row>
    <row r="279" spans="9:9" x14ac:dyDescent="0.25">
      <c r="I279" s="78"/>
    </row>
    <row r="280" spans="9:9" x14ac:dyDescent="0.25">
      <c r="I280" s="78"/>
    </row>
    <row r="281" spans="9:9" x14ac:dyDescent="0.25">
      <c r="I281" s="78"/>
    </row>
    <row r="282" spans="9:9" x14ac:dyDescent="0.25">
      <c r="I282" s="78"/>
    </row>
    <row r="283" spans="9:9" x14ac:dyDescent="0.25">
      <c r="I283" s="78"/>
    </row>
    <row r="284" spans="9:9" x14ac:dyDescent="0.25">
      <c r="I284" s="78"/>
    </row>
    <row r="285" spans="9:9" x14ac:dyDescent="0.25">
      <c r="I285" s="78"/>
    </row>
    <row r="286" spans="9:9" x14ac:dyDescent="0.25">
      <c r="I286" s="78"/>
    </row>
    <row r="287" spans="9:9" x14ac:dyDescent="0.25">
      <c r="I287" s="78"/>
    </row>
    <row r="288" spans="9:9" x14ac:dyDescent="0.25">
      <c r="I288" s="78"/>
    </row>
    <row r="289" spans="9:9" x14ac:dyDescent="0.25">
      <c r="I289" s="78"/>
    </row>
    <row r="290" spans="9:9" x14ac:dyDescent="0.25">
      <c r="I290" s="78"/>
    </row>
    <row r="291" spans="9:9" x14ac:dyDescent="0.25">
      <c r="I291" s="78"/>
    </row>
    <row r="292" spans="9:9" x14ac:dyDescent="0.25">
      <c r="I292" s="78"/>
    </row>
    <row r="293" spans="9:9" x14ac:dyDescent="0.25">
      <c r="I293" s="78"/>
    </row>
    <row r="294" spans="9:9" x14ac:dyDescent="0.25">
      <c r="I294" s="78"/>
    </row>
    <row r="295" spans="9:9" x14ac:dyDescent="0.25">
      <c r="I295" s="78"/>
    </row>
    <row r="296" spans="9:9" x14ac:dyDescent="0.25">
      <c r="I296" s="78"/>
    </row>
    <row r="297" spans="9:9" x14ac:dyDescent="0.25">
      <c r="I297" s="78"/>
    </row>
    <row r="298" spans="9:9" x14ac:dyDescent="0.25">
      <c r="I298" s="78"/>
    </row>
    <row r="299" spans="9:9" x14ac:dyDescent="0.25">
      <c r="I299" s="78"/>
    </row>
    <row r="300" spans="9:9" x14ac:dyDescent="0.25">
      <c r="I300" s="78"/>
    </row>
    <row r="301" spans="9:9" x14ac:dyDescent="0.25">
      <c r="I301" s="78"/>
    </row>
    <row r="302" spans="9:9" x14ac:dyDescent="0.25">
      <c r="I302" s="78"/>
    </row>
    <row r="303" spans="9:9" x14ac:dyDescent="0.25">
      <c r="I303" s="78"/>
    </row>
    <row r="304" spans="9:9" x14ac:dyDescent="0.25">
      <c r="I304" s="78"/>
    </row>
    <row r="305" spans="9:9" x14ac:dyDescent="0.25">
      <c r="I305" s="78"/>
    </row>
    <row r="306" spans="9:9" x14ac:dyDescent="0.25">
      <c r="I306" s="78"/>
    </row>
    <row r="307" spans="9:9" x14ac:dyDescent="0.25">
      <c r="I307" s="78"/>
    </row>
    <row r="308" spans="9:9" x14ac:dyDescent="0.25">
      <c r="I308" s="78"/>
    </row>
    <row r="309" spans="9:9" x14ac:dyDescent="0.25">
      <c r="I309" s="78"/>
    </row>
    <row r="310" spans="9:9" x14ac:dyDescent="0.25">
      <c r="I310" s="78"/>
    </row>
    <row r="311" spans="9:9" x14ac:dyDescent="0.25">
      <c r="I311" s="78"/>
    </row>
    <row r="312" spans="9:9" x14ac:dyDescent="0.25">
      <c r="I312" s="78"/>
    </row>
    <row r="313" spans="9:9" x14ac:dyDescent="0.25">
      <c r="I313" s="78"/>
    </row>
    <row r="314" spans="9:9" x14ac:dyDescent="0.25">
      <c r="I314" s="78"/>
    </row>
    <row r="315" spans="9:9" x14ac:dyDescent="0.25">
      <c r="I315" s="78"/>
    </row>
    <row r="316" spans="9:9" x14ac:dyDescent="0.25">
      <c r="I316" s="78"/>
    </row>
    <row r="317" spans="9:9" x14ac:dyDescent="0.25">
      <c r="I317" s="78"/>
    </row>
    <row r="318" spans="9:9" x14ac:dyDescent="0.25">
      <c r="I318" s="78"/>
    </row>
    <row r="319" spans="9:9" x14ac:dyDescent="0.25">
      <c r="I319" s="78"/>
    </row>
    <row r="320" spans="9:9" x14ac:dyDescent="0.25">
      <c r="I320" s="78"/>
    </row>
    <row r="321" spans="9:9" x14ac:dyDescent="0.25">
      <c r="I321" s="78"/>
    </row>
    <row r="322" spans="9:9" x14ac:dyDescent="0.25">
      <c r="I322" s="78"/>
    </row>
    <row r="323" spans="9:9" x14ac:dyDescent="0.25">
      <c r="I323" s="78"/>
    </row>
    <row r="324" spans="9:9" x14ac:dyDescent="0.25">
      <c r="I324" s="78"/>
    </row>
    <row r="325" spans="9:9" x14ac:dyDescent="0.25">
      <c r="I325" s="78"/>
    </row>
    <row r="326" spans="9:9" x14ac:dyDescent="0.25">
      <c r="I326" s="78"/>
    </row>
    <row r="327" spans="9:9" x14ac:dyDescent="0.25">
      <c r="I327" s="78"/>
    </row>
    <row r="328" spans="9:9" x14ac:dyDescent="0.25">
      <c r="I328" s="78"/>
    </row>
    <row r="329" spans="9:9" x14ac:dyDescent="0.25">
      <c r="I329" s="78"/>
    </row>
    <row r="330" spans="9:9" x14ac:dyDescent="0.25">
      <c r="I330" s="78"/>
    </row>
    <row r="331" spans="9:9" x14ac:dyDescent="0.25">
      <c r="I331" s="78"/>
    </row>
    <row r="332" spans="9:9" x14ac:dyDescent="0.25">
      <c r="I332" s="78"/>
    </row>
    <row r="333" spans="9:9" x14ac:dyDescent="0.25">
      <c r="I333" s="78"/>
    </row>
    <row r="334" spans="9:9" x14ac:dyDescent="0.25">
      <c r="I334" s="78"/>
    </row>
    <row r="335" spans="9:9" x14ac:dyDescent="0.25">
      <c r="I335" s="78"/>
    </row>
    <row r="336" spans="9:9" x14ac:dyDescent="0.25">
      <c r="I336" s="78"/>
    </row>
    <row r="337" spans="9:9" x14ac:dyDescent="0.25">
      <c r="I337" s="78"/>
    </row>
    <row r="338" spans="9:9" x14ac:dyDescent="0.25">
      <c r="I338" s="78"/>
    </row>
    <row r="339" spans="9:9" x14ac:dyDescent="0.25">
      <c r="I339" s="78"/>
    </row>
    <row r="340" spans="9:9" x14ac:dyDescent="0.25">
      <c r="I340" s="78"/>
    </row>
    <row r="341" spans="9:9" x14ac:dyDescent="0.25">
      <c r="I341" s="78"/>
    </row>
    <row r="342" spans="9:9" x14ac:dyDescent="0.25">
      <c r="I342" s="78"/>
    </row>
    <row r="343" spans="9:9" x14ac:dyDescent="0.25">
      <c r="I343" s="78"/>
    </row>
    <row r="344" spans="9:9" x14ac:dyDescent="0.25">
      <c r="I344" s="78"/>
    </row>
    <row r="345" spans="9:9" x14ac:dyDescent="0.25">
      <c r="I345" s="78"/>
    </row>
    <row r="346" spans="9:9" x14ac:dyDescent="0.25">
      <c r="I346" s="78"/>
    </row>
    <row r="347" spans="9:9" x14ac:dyDescent="0.25">
      <c r="I347" s="78"/>
    </row>
    <row r="348" spans="9:9" x14ac:dyDescent="0.25">
      <c r="I348" s="78"/>
    </row>
    <row r="349" spans="9:9" x14ac:dyDescent="0.25">
      <c r="I349" s="78"/>
    </row>
    <row r="350" spans="9:9" x14ac:dyDescent="0.25">
      <c r="I350" s="78"/>
    </row>
    <row r="351" spans="9:9" x14ac:dyDescent="0.25">
      <c r="I351" s="78"/>
    </row>
    <row r="352" spans="9:9" x14ac:dyDescent="0.25">
      <c r="I352" s="78"/>
    </row>
    <row r="353" spans="9:9" x14ac:dyDescent="0.25">
      <c r="I353" s="78"/>
    </row>
    <row r="354" spans="9:9" x14ac:dyDescent="0.25">
      <c r="I354" s="78"/>
    </row>
    <row r="355" spans="9:9" x14ac:dyDescent="0.25">
      <c r="I355" s="78"/>
    </row>
    <row r="356" spans="9:9" x14ac:dyDescent="0.25">
      <c r="I356" s="78"/>
    </row>
    <row r="357" spans="9:9" x14ac:dyDescent="0.25">
      <c r="I357" s="78"/>
    </row>
    <row r="358" spans="9:9" x14ac:dyDescent="0.25">
      <c r="I358" s="78"/>
    </row>
    <row r="359" spans="9:9" x14ac:dyDescent="0.25">
      <c r="I359" s="78"/>
    </row>
    <row r="360" spans="9:9" x14ac:dyDescent="0.25">
      <c r="I360" s="78"/>
    </row>
    <row r="361" spans="9:9" x14ac:dyDescent="0.25">
      <c r="I361" s="78"/>
    </row>
    <row r="362" spans="9:9" x14ac:dyDescent="0.25">
      <c r="I362" s="78"/>
    </row>
    <row r="363" spans="9:9" x14ac:dyDescent="0.25">
      <c r="I363" s="78"/>
    </row>
    <row r="364" spans="9:9" x14ac:dyDescent="0.25">
      <c r="I364" s="78"/>
    </row>
    <row r="365" spans="9:9" x14ac:dyDescent="0.25">
      <c r="I365" s="78"/>
    </row>
    <row r="366" spans="9:9" x14ac:dyDescent="0.25">
      <c r="I366" s="78"/>
    </row>
    <row r="367" spans="9:9" x14ac:dyDescent="0.25">
      <c r="I367" s="78"/>
    </row>
    <row r="368" spans="9:9" x14ac:dyDescent="0.25">
      <c r="I368" s="78"/>
    </row>
    <row r="369" spans="9:9" x14ac:dyDescent="0.25">
      <c r="I369" s="78"/>
    </row>
    <row r="370" spans="9:9" x14ac:dyDescent="0.25">
      <c r="I370" s="78"/>
    </row>
    <row r="371" spans="9:9" x14ac:dyDescent="0.25">
      <c r="I371" s="78"/>
    </row>
    <row r="372" spans="9:9" x14ac:dyDescent="0.25">
      <c r="I372" s="78"/>
    </row>
    <row r="373" spans="9:9" x14ac:dyDescent="0.25">
      <c r="I373" s="78"/>
    </row>
    <row r="374" spans="9:9" x14ac:dyDescent="0.25">
      <c r="I374" s="78"/>
    </row>
    <row r="375" spans="9:9" x14ac:dyDescent="0.25">
      <c r="I375" s="78"/>
    </row>
    <row r="376" spans="9:9" x14ac:dyDescent="0.25">
      <c r="I376" s="78"/>
    </row>
    <row r="377" spans="9:9" x14ac:dyDescent="0.25">
      <c r="I377" s="78"/>
    </row>
    <row r="378" spans="9:9" x14ac:dyDescent="0.25">
      <c r="I378" s="78"/>
    </row>
    <row r="379" spans="9:9" x14ac:dyDescent="0.25">
      <c r="I379" s="78"/>
    </row>
    <row r="380" spans="9:9" x14ac:dyDescent="0.25">
      <c r="I380" s="78"/>
    </row>
    <row r="381" spans="9:9" x14ac:dyDescent="0.25">
      <c r="I381" s="78"/>
    </row>
    <row r="382" spans="9:9" x14ac:dyDescent="0.25">
      <c r="I382" s="78"/>
    </row>
    <row r="383" spans="9:9" x14ac:dyDescent="0.25">
      <c r="I383" s="78"/>
    </row>
    <row r="384" spans="9:9" x14ac:dyDescent="0.25">
      <c r="I384" s="78"/>
    </row>
    <row r="385" spans="9:9" x14ac:dyDescent="0.25">
      <c r="I385" s="78"/>
    </row>
    <row r="386" spans="9:9" x14ac:dyDescent="0.25">
      <c r="I386" s="78"/>
    </row>
    <row r="387" spans="9:9" x14ac:dyDescent="0.25">
      <c r="I387" s="78"/>
    </row>
    <row r="388" spans="9:9" x14ac:dyDescent="0.25">
      <c r="I388" s="78"/>
    </row>
    <row r="389" spans="9:9" x14ac:dyDescent="0.25">
      <c r="I389" s="78"/>
    </row>
    <row r="390" spans="9:9" x14ac:dyDescent="0.25">
      <c r="I390" s="78"/>
    </row>
    <row r="391" spans="9:9" x14ac:dyDescent="0.25">
      <c r="I391" s="78"/>
    </row>
    <row r="392" spans="9:9" x14ac:dyDescent="0.25">
      <c r="I392" s="78"/>
    </row>
    <row r="393" spans="9:9" x14ac:dyDescent="0.25">
      <c r="I393" s="78"/>
    </row>
    <row r="394" spans="9:9" x14ac:dyDescent="0.25">
      <c r="I394" s="78"/>
    </row>
    <row r="395" spans="9:9" x14ac:dyDescent="0.25">
      <c r="I395" s="78"/>
    </row>
    <row r="396" spans="9:9" x14ac:dyDescent="0.25">
      <c r="I396" s="78"/>
    </row>
    <row r="397" spans="9:9" x14ac:dyDescent="0.25">
      <c r="I397" s="78"/>
    </row>
    <row r="398" spans="9:9" x14ac:dyDescent="0.25">
      <c r="I398" s="78"/>
    </row>
    <row r="399" spans="9:9" x14ac:dyDescent="0.25">
      <c r="I399" s="78"/>
    </row>
    <row r="400" spans="9:9" x14ac:dyDescent="0.25">
      <c r="I400" s="78"/>
    </row>
    <row r="401" spans="9:9" x14ac:dyDescent="0.25">
      <c r="I401" s="78"/>
    </row>
    <row r="402" spans="9:9" x14ac:dyDescent="0.25">
      <c r="I402" s="78"/>
    </row>
    <row r="403" spans="9:9" x14ac:dyDescent="0.25">
      <c r="I403" s="78"/>
    </row>
    <row r="404" spans="9:9" x14ac:dyDescent="0.25">
      <c r="I404" s="78"/>
    </row>
    <row r="405" spans="9:9" x14ac:dyDescent="0.25">
      <c r="I405" s="78"/>
    </row>
    <row r="406" spans="9:9" x14ac:dyDescent="0.25">
      <c r="I406" s="78"/>
    </row>
    <row r="407" spans="9:9" x14ac:dyDescent="0.25">
      <c r="I407" s="78"/>
    </row>
    <row r="408" spans="9:9" x14ac:dyDescent="0.25">
      <c r="I408" s="78"/>
    </row>
    <row r="409" spans="9:9" x14ac:dyDescent="0.25">
      <c r="I409" s="78"/>
    </row>
    <row r="410" spans="9:9" x14ac:dyDescent="0.25">
      <c r="I410" s="78"/>
    </row>
    <row r="411" spans="9:9" x14ac:dyDescent="0.25">
      <c r="I411" s="78"/>
    </row>
    <row r="412" spans="9:9" x14ac:dyDescent="0.25">
      <c r="I412" s="78"/>
    </row>
    <row r="413" spans="9:9" x14ac:dyDescent="0.25">
      <c r="I413" s="78"/>
    </row>
    <row r="414" spans="9:9" x14ac:dyDescent="0.25">
      <c r="I414" s="78"/>
    </row>
    <row r="415" spans="9:9" x14ac:dyDescent="0.25">
      <c r="I415" s="78"/>
    </row>
    <row r="416" spans="9:9" x14ac:dyDescent="0.25">
      <c r="I416" s="78"/>
    </row>
    <row r="417" spans="9:9" x14ac:dyDescent="0.25">
      <c r="I417" s="78"/>
    </row>
    <row r="418" spans="9:9" x14ac:dyDescent="0.25">
      <c r="I418" s="78"/>
    </row>
    <row r="419" spans="9:9" x14ac:dyDescent="0.25">
      <c r="I419" s="78"/>
    </row>
    <row r="420" spans="9:9" x14ac:dyDescent="0.25">
      <c r="I420" s="78"/>
    </row>
    <row r="421" spans="9:9" x14ac:dyDescent="0.25">
      <c r="I421" s="78"/>
    </row>
    <row r="422" spans="9:9" x14ac:dyDescent="0.25">
      <c r="I422" s="78"/>
    </row>
    <row r="423" spans="9:9" x14ac:dyDescent="0.25">
      <c r="I423" s="78"/>
    </row>
    <row r="424" spans="9:9" x14ac:dyDescent="0.25">
      <c r="I424" s="78"/>
    </row>
    <row r="425" spans="9:9" x14ac:dyDescent="0.25">
      <c r="I425" s="78"/>
    </row>
    <row r="426" spans="9:9" x14ac:dyDescent="0.25">
      <c r="I426" s="78"/>
    </row>
    <row r="427" spans="9:9" x14ac:dyDescent="0.25">
      <c r="I427" s="78"/>
    </row>
    <row r="428" spans="9:9" x14ac:dyDescent="0.25">
      <c r="I428" s="78"/>
    </row>
    <row r="429" spans="9:9" x14ac:dyDescent="0.25">
      <c r="I429" s="78"/>
    </row>
    <row r="430" spans="9:9" x14ac:dyDescent="0.25">
      <c r="I430" s="78"/>
    </row>
    <row r="431" spans="9:9" x14ac:dyDescent="0.25">
      <c r="I431" s="78"/>
    </row>
    <row r="432" spans="9:9" x14ac:dyDescent="0.25">
      <c r="I432" s="78"/>
    </row>
    <row r="433" spans="9:9" x14ac:dyDescent="0.25">
      <c r="I433" s="78"/>
    </row>
    <row r="434" spans="9:9" x14ac:dyDescent="0.25">
      <c r="I434" s="78"/>
    </row>
    <row r="435" spans="9:9" x14ac:dyDescent="0.25">
      <c r="I435" s="78"/>
    </row>
    <row r="436" spans="9:9" x14ac:dyDescent="0.25">
      <c r="I436" s="78"/>
    </row>
    <row r="437" spans="9:9" x14ac:dyDescent="0.25">
      <c r="I437" s="78"/>
    </row>
    <row r="438" spans="9:9" x14ac:dyDescent="0.25">
      <c r="I438" s="78"/>
    </row>
    <row r="439" spans="9:9" x14ac:dyDescent="0.25">
      <c r="I439" s="78"/>
    </row>
    <row r="440" spans="9:9" x14ac:dyDescent="0.25">
      <c r="I440" s="78"/>
    </row>
    <row r="441" spans="9:9" x14ac:dyDescent="0.25">
      <c r="I441" s="78"/>
    </row>
    <row r="442" spans="9:9" x14ac:dyDescent="0.25">
      <c r="I442" s="78"/>
    </row>
    <row r="443" spans="9:9" x14ac:dyDescent="0.25">
      <c r="I443" s="78"/>
    </row>
    <row r="444" spans="9:9" x14ac:dyDescent="0.25">
      <c r="I444" s="78"/>
    </row>
    <row r="445" spans="9:9" x14ac:dyDescent="0.25">
      <c r="I445" s="78"/>
    </row>
    <row r="446" spans="9:9" x14ac:dyDescent="0.25">
      <c r="I446" s="78"/>
    </row>
    <row r="447" spans="9:9" x14ac:dyDescent="0.25">
      <c r="I447" s="78"/>
    </row>
    <row r="448" spans="9:9" x14ac:dyDescent="0.25">
      <c r="I448" s="78"/>
    </row>
    <row r="449" spans="9:9" x14ac:dyDescent="0.25">
      <c r="I449" s="78"/>
    </row>
    <row r="450" spans="9:9" x14ac:dyDescent="0.25">
      <c r="I450" s="78"/>
    </row>
    <row r="451" spans="9:9" x14ac:dyDescent="0.25">
      <c r="I451" s="78"/>
    </row>
    <row r="452" spans="9:9" x14ac:dyDescent="0.25">
      <c r="I452" s="78"/>
    </row>
    <row r="453" spans="9:9" x14ac:dyDescent="0.25">
      <c r="I453" s="78"/>
    </row>
    <row r="454" spans="9:9" x14ac:dyDescent="0.25">
      <c r="I454" s="78"/>
    </row>
    <row r="455" spans="9:9" x14ac:dyDescent="0.25">
      <c r="I455" s="78"/>
    </row>
    <row r="456" spans="9:9" x14ac:dyDescent="0.25">
      <c r="I456" s="78"/>
    </row>
    <row r="457" spans="9:9" x14ac:dyDescent="0.25">
      <c r="I457" s="78"/>
    </row>
    <row r="458" spans="9:9" x14ac:dyDescent="0.25">
      <c r="I458" s="78"/>
    </row>
    <row r="459" spans="9:9" x14ac:dyDescent="0.25">
      <c r="I459" s="78"/>
    </row>
    <row r="460" spans="9:9" x14ac:dyDescent="0.25">
      <c r="I460" s="78"/>
    </row>
    <row r="461" spans="9:9" x14ac:dyDescent="0.25">
      <c r="I461" s="78"/>
    </row>
    <row r="462" spans="9:9" x14ac:dyDescent="0.25">
      <c r="I462" s="78"/>
    </row>
    <row r="463" spans="9:9" x14ac:dyDescent="0.25">
      <c r="I463" s="78"/>
    </row>
    <row r="464" spans="9:9" x14ac:dyDescent="0.25">
      <c r="I464" s="78"/>
    </row>
    <row r="465" spans="9:9" x14ac:dyDescent="0.25">
      <c r="I465" s="78"/>
    </row>
    <row r="466" spans="9:9" x14ac:dyDescent="0.25">
      <c r="I466" s="78"/>
    </row>
    <row r="467" spans="9:9" x14ac:dyDescent="0.25">
      <c r="I467" s="78"/>
    </row>
    <row r="468" spans="9:9" x14ac:dyDescent="0.25">
      <c r="I468" s="78"/>
    </row>
    <row r="469" spans="9:9" x14ac:dyDescent="0.25">
      <c r="I469" s="78"/>
    </row>
    <row r="470" spans="9:9" x14ac:dyDescent="0.25">
      <c r="I470" s="78"/>
    </row>
    <row r="471" spans="9:9" x14ac:dyDescent="0.25">
      <c r="I471" s="78"/>
    </row>
    <row r="472" spans="9:9" x14ac:dyDescent="0.25">
      <c r="I472" s="78"/>
    </row>
    <row r="473" spans="9:9" x14ac:dyDescent="0.25">
      <c r="I473" s="78"/>
    </row>
    <row r="474" spans="9:9" x14ac:dyDescent="0.25">
      <c r="I474" s="78"/>
    </row>
    <row r="475" spans="9:9" x14ac:dyDescent="0.25">
      <c r="I475" s="78"/>
    </row>
    <row r="476" spans="9:9" x14ac:dyDescent="0.25">
      <c r="I476" s="78"/>
    </row>
    <row r="477" spans="9:9" x14ac:dyDescent="0.25">
      <c r="I477" s="78"/>
    </row>
    <row r="478" spans="9:9" x14ac:dyDescent="0.25">
      <c r="I478" s="78"/>
    </row>
    <row r="479" spans="9:9" x14ac:dyDescent="0.25">
      <c r="I479" s="78"/>
    </row>
    <row r="480" spans="9:9" x14ac:dyDescent="0.25">
      <c r="I480" s="78"/>
    </row>
    <row r="481" spans="9:9" x14ac:dyDescent="0.25">
      <c r="I481" s="78"/>
    </row>
    <row r="482" spans="9:9" x14ac:dyDescent="0.25">
      <c r="I482" s="78"/>
    </row>
    <row r="483" spans="9:9" x14ac:dyDescent="0.25">
      <c r="I483" s="78"/>
    </row>
    <row r="484" spans="9:9" x14ac:dyDescent="0.25">
      <c r="I484" s="78"/>
    </row>
    <row r="485" spans="9:9" x14ac:dyDescent="0.25">
      <c r="I485" s="78"/>
    </row>
    <row r="486" spans="9:9" x14ac:dyDescent="0.25">
      <c r="I486" s="78"/>
    </row>
    <row r="487" spans="9:9" x14ac:dyDescent="0.25">
      <c r="I487" s="78"/>
    </row>
    <row r="488" spans="9:9" x14ac:dyDescent="0.25">
      <c r="I488" s="78"/>
    </row>
    <row r="489" spans="9:9" x14ac:dyDescent="0.25">
      <c r="I489" s="78"/>
    </row>
    <row r="490" spans="9:9" x14ac:dyDescent="0.25">
      <c r="I490" s="78"/>
    </row>
    <row r="491" spans="9:9" x14ac:dyDescent="0.25">
      <c r="I491" s="78"/>
    </row>
    <row r="492" spans="9:9" x14ac:dyDescent="0.25">
      <c r="I492" s="78"/>
    </row>
    <row r="493" spans="9:9" x14ac:dyDescent="0.25">
      <c r="I493" s="78"/>
    </row>
    <row r="494" spans="9:9" x14ac:dyDescent="0.25">
      <c r="I494" s="78"/>
    </row>
    <row r="495" spans="9:9" x14ac:dyDescent="0.25">
      <c r="I495" s="78"/>
    </row>
    <row r="496" spans="9:9" x14ac:dyDescent="0.25">
      <c r="I496" s="78"/>
    </row>
    <row r="497" spans="9:9" x14ac:dyDescent="0.25">
      <c r="I497" s="78"/>
    </row>
    <row r="498" spans="9:9" x14ac:dyDescent="0.25">
      <c r="I498" s="78"/>
    </row>
    <row r="499" spans="9:9" x14ac:dyDescent="0.25">
      <c r="I499" s="78"/>
    </row>
    <row r="500" spans="9:9" x14ac:dyDescent="0.25">
      <c r="I500" s="78"/>
    </row>
    <row r="501" spans="9:9" x14ac:dyDescent="0.25">
      <c r="I501" s="78"/>
    </row>
    <row r="502" spans="9:9" x14ac:dyDescent="0.25">
      <c r="I502" s="78"/>
    </row>
    <row r="503" spans="9:9" x14ac:dyDescent="0.25">
      <c r="I503" s="78"/>
    </row>
    <row r="504" spans="9:9" x14ac:dyDescent="0.25">
      <c r="I504" s="78"/>
    </row>
    <row r="505" spans="9:9" x14ac:dyDescent="0.25">
      <c r="I505" s="78"/>
    </row>
    <row r="506" spans="9:9" x14ac:dyDescent="0.25">
      <c r="I506" s="78"/>
    </row>
    <row r="507" spans="9:9" x14ac:dyDescent="0.25">
      <c r="I507" s="78"/>
    </row>
    <row r="508" spans="9:9" x14ac:dyDescent="0.25">
      <c r="I508" s="78"/>
    </row>
    <row r="509" spans="9:9" x14ac:dyDescent="0.25">
      <c r="I509" s="78"/>
    </row>
    <row r="510" spans="9:9" x14ac:dyDescent="0.25">
      <c r="I510" s="78"/>
    </row>
    <row r="511" spans="9:9" x14ac:dyDescent="0.25">
      <c r="I511" s="78"/>
    </row>
    <row r="512" spans="9:9" x14ac:dyDescent="0.25">
      <c r="I512" s="78"/>
    </row>
    <row r="513" spans="9:9" x14ac:dyDescent="0.25">
      <c r="I513" s="78"/>
    </row>
    <row r="514" spans="9:9" x14ac:dyDescent="0.25">
      <c r="I514" s="78"/>
    </row>
    <row r="515" spans="9:9" x14ac:dyDescent="0.25">
      <c r="I515" s="78"/>
    </row>
    <row r="516" spans="9:9" x14ac:dyDescent="0.25">
      <c r="I516" s="78"/>
    </row>
    <row r="517" spans="9:9" x14ac:dyDescent="0.25">
      <c r="I517" s="78"/>
    </row>
    <row r="518" spans="9:9" x14ac:dyDescent="0.25">
      <c r="I518" s="78"/>
    </row>
    <row r="519" spans="9:9" x14ac:dyDescent="0.25">
      <c r="I519" s="78"/>
    </row>
    <row r="520" spans="9:9" x14ac:dyDescent="0.25">
      <c r="I520" s="78"/>
    </row>
    <row r="521" spans="9:9" x14ac:dyDescent="0.25">
      <c r="I521" s="78"/>
    </row>
    <row r="522" spans="9:9" x14ac:dyDescent="0.25">
      <c r="I522" s="78"/>
    </row>
    <row r="523" spans="9:9" x14ac:dyDescent="0.25">
      <c r="I523" s="78"/>
    </row>
    <row r="524" spans="9:9" x14ac:dyDescent="0.25">
      <c r="I524" s="78"/>
    </row>
    <row r="525" spans="9:9" x14ac:dyDescent="0.25">
      <c r="I525" s="78"/>
    </row>
    <row r="526" spans="9:9" x14ac:dyDescent="0.25">
      <c r="I526" s="78"/>
    </row>
    <row r="527" spans="9:9" x14ac:dyDescent="0.25">
      <c r="I527" s="78"/>
    </row>
    <row r="528" spans="9:9" x14ac:dyDescent="0.25">
      <c r="I528" s="78"/>
    </row>
    <row r="529" spans="9:9" x14ac:dyDescent="0.25">
      <c r="I529" s="78"/>
    </row>
    <row r="530" spans="9:9" x14ac:dyDescent="0.25">
      <c r="I530" s="78"/>
    </row>
    <row r="531" spans="9:9" x14ac:dyDescent="0.25">
      <c r="I531" s="78"/>
    </row>
    <row r="532" spans="9:9" x14ac:dyDescent="0.25">
      <c r="I532" s="78"/>
    </row>
    <row r="533" spans="9:9" x14ac:dyDescent="0.25">
      <c r="I533" s="78"/>
    </row>
    <row r="534" spans="9:9" x14ac:dyDescent="0.25">
      <c r="I534" s="78"/>
    </row>
    <row r="535" spans="9:9" x14ac:dyDescent="0.25">
      <c r="I535" s="78"/>
    </row>
    <row r="536" spans="9:9" x14ac:dyDescent="0.25">
      <c r="I536" s="78"/>
    </row>
    <row r="537" spans="9:9" x14ac:dyDescent="0.25">
      <c r="I537" s="78"/>
    </row>
    <row r="538" spans="9:9" x14ac:dyDescent="0.25">
      <c r="I538" s="78"/>
    </row>
    <row r="539" spans="9:9" x14ac:dyDescent="0.25">
      <c r="I539" s="78"/>
    </row>
    <row r="540" spans="9:9" x14ac:dyDescent="0.25">
      <c r="I540" s="78"/>
    </row>
    <row r="541" spans="9:9" x14ac:dyDescent="0.25">
      <c r="I541" s="78"/>
    </row>
    <row r="542" spans="9:9" x14ac:dyDescent="0.25">
      <c r="I542" s="78"/>
    </row>
    <row r="543" spans="9:9" x14ac:dyDescent="0.25">
      <c r="I543" s="78"/>
    </row>
    <row r="544" spans="9:9" x14ac:dyDescent="0.25">
      <c r="I544" s="78"/>
    </row>
    <row r="545" spans="9:9" x14ac:dyDescent="0.25">
      <c r="I545" s="78"/>
    </row>
    <row r="546" spans="9:9" x14ac:dyDescent="0.25">
      <c r="I546" s="78"/>
    </row>
    <row r="547" spans="9:9" x14ac:dyDescent="0.25">
      <c r="I547" s="78"/>
    </row>
    <row r="548" spans="9:9" x14ac:dyDescent="0.25">
      <c r="I548" s="78"/>
    </row>
    <row r="549" spans="9:9" x14ac:dyDescent="0.25">
      <c r="I549" s="78"/>
    </row>
    <row r="550" spans="9:9" x14ac:dyDescent="0.25">
      <c r="I550" s="78"/>
    </row>
    <row r="551" spans="9:9" x14ac:dyDescent="0.25">
      <c r="I551" s="78"/>
    </row>
    <row r="552" spans="9:9" x14ac:dyDescent="0.25">
      <c r="I552" s="78"/>
    </row>
    <row r="553" spans="9:9" x14ac:dyDescent="0.25">
      <c r="I553" s="78"/>
    </row>
    <row r="554" spans="9:9" x14ac:dyDescent="0.25">
      <c r="I554" s="78"/>
    </row>
    <row r="555" spans="9:9" x14ac:dyDescent="0.25">
      <c r="I555" s="78"/>
    </row>
    <row r="556" spans="9:9" x14ac:dyDescent="0.25">
      <c r="I556" s="78"/>
    </row>
    <row r="557" spans="9:9" x14ac:dyDescent="0.25">
      <c r="I557" s="78"/>
    </row>
    <row r="558" spans="9:9" x14ac:dyDescent="0.25">
      <c r="I558" s="78"/>
    </row>
    <row r="559" spans="9:9" x14ac:dyDescent="0.25">
      <c r="I559" s="78"/>
    </row>
    <row r="560" spans="9:9" x14ac:dyDescent="0.25">
      <c r="I560" s="78"/>
    </row>
    <row r="561" spans="9:9" x14ac:dyDescent="0.25">
      <c r="I561" s="78"/>
    </row>
    <row r="562" spans="9:9" x14ac:dyDescent="0.25">
      <c r="I562" s="78"/>
    </row>
    <row r="563" spans="9:9" x14ac:dyDescent="0.25">
      <c r="I563" s="78"/>
    </row>
    <row r="564" spans="9:9" x14ac:dyDescent="0.25">
      <c r="I564" s="78"/>
    </row>
    <row r="565" spans="9:9" x14ac:dyDescent="0.25">
      <c r="I565" s="78"/>
    </row>
    <row r="566" spans="9:9" x14ac:dyDescent="0.25">
      <c r="I566" s="78"/>
    </row>
    <row r="567" spans="9:9" x14ac:dyDescent="0.25">
      <c r="I567" s="78"/>
    </row>
    <row r="568" spans="9:9" x14ac:dyDescent="0.25">
      <c r="I568" s="78"/>
    </row>
    <row r="569" spans="9:9" x14ac:dyDescent="0.25">
      <c r="I569" s="78"/>
    </row>
    <row r="570" spans="9:9" x14ac:dyDescent="0.25">
      <c r="I570" s="78"/>
    </row>
    <row r="571" spans="9:9" x14ac:dyDescent="0.25">
      <c r="I571" s="78"/>
    </row>
    <row r="572" spans="9:9" x14ac:dyDescent="0.25">
      <c r="I572" s="78"/>
    </row>
    <row r="573" spans="9:9" x14ac:dyDescent="0.25">
      <c r="I573" s="78"/>
    </row>
    <row r="574" spans="9:9" x14ac:dyDescent="0.25">
      <c r="I574" s="78"/>
    </row>
    <row r="575" spans="9:9" x14ac:dyDescent="0.25">
      <c r="I575" s="78"/>
    </row>
    <row r="576" spans="9:9" x14ac:dyDescent="0.25">
      <c r="I576" s="78"/>
    </row>
    <row r="577" spans="9:9" x14ac:dyDescent="0.25">
      <c r="I577" s="78"/>
    </row>
    <row r="578" spans="9:9" x14ac:dyDescent="0.25">
      <c r="I578" s="78"/>
    </row>
    <row r="579" spans="9:9" x14ac:dyDescent="0.25">
      <c r="I579" s="78"/>
    </row>
    <row r="580" spans="9:9" x14ac:dyDescent="0.25">
      <c r="I580" s="78"/>
    </row>
    <row r="581" spans="9:9" x14ac:dyDescent="0.25">
      <c r="I581" s="78"/>
    </row>
    <row r="582" spans="9:9" x14ac:dyDescent="0.25">
      <c r="I582" s="78"/>
    </row>
    <row r="583" spans="9:9" x14ac:dyDescent="0.25">
      <c r="I583" s="78"/>
    </row>
    <row r="584" spans="9:9" x14ac:dyDescent="0.25">
      <c r="I584" s="78"/>
    </row>
    <row r="585" spans="9:9" x14ac:dyDescent="0.25">
      <c r="I585" s="78"/>
    </row>
    <row r="586" spans="9:9" x14ac:dyDescent="0.25">
      <c r="I586" s="78"/>
    </row>
    <row r="587" spans="9:9" x14ac:dyDescent="0.25">
      <c r="I587" s="78"/>
    </row>
    <row r="588" spans="9:9" x14ac:dyDescent="0.25">
      <c r="I588" s="78"/>
    </row>
    <row r="589" spans="9:9" x14ac:dyDescent="0.25">
      <c r="I589" s="78"/>
    </row>
    <row r="590" spans="9:9" x14ac:dyDescent="0.25">
      <c r="I590" s="78"/>
    </row>
    <row r="591" spans="9:9" x14ac:dyDescent="0.25">
      <c r="I591" s="78"/>
    </row>
    <row r="592" spans="9:9" x14ac:dyDescent="0.25">
      <c r="I592" s="78"/>
    </row>
    <row r="593" spans="9:9" x14ac:dyDescent="0.25">
      <c r="I593" s="78"/>
    </row>
    <row r="594" spans="9:9" x14ac:dyDescent="0.25">
      <c r="I594" s="78"/>
    </row>
    <row r="595" spans="9:9" x14ac:dyDescent="0.25">
      <c r="I595" s="78"/>
    </row>
    <row r="596" spans="9:9" x14ac:dyDescent="0.25">
      <c r="I596" s="78"/>
    </row>
    <row r="597" spans="9:9" x14ac:dyDescent="0.25">
      <c r="I597" s="78"/>
    </row>
    <row r="598" spans="9:9" x14ac:dyDescent="0.25">
      <c r="I598" s="78"/>
    </row>
    <row r="599" spans="9:9" x14ac:dyDescent="0.25">
      <c r="I599" s="78"/>
    </row>
    <row r="600" spans="9:9" x14ac:dyDescent="0.25">
      <c r="I600" s="78"/>
    </row>
    <row r="601" spans="9:9" x14ac:dyDescent="0.25">
      <c r="I601" s="78"/>
    </row>
    <row r="602" spans="9:9" x14ac:dyDescent="0.25">
      <c r="I602" s="78"/>
    </row>
    <row r="603" spans="9:9" x14ac:dyDescent="0.25">
      <c r="I603" s="78"/>
    </row>
    <row r="604" spans="9:9" x14ac:dyDescent="0.25">
      <c r="I604" s="78"/>
    </row>
    <row r="605" spans="9:9" x14ac:dyDescent="0.25">
      <c r="I605" s="78"/>
    </row>
    <row r="606" spans="9:9" x14ac:dyDescent="0.25">
      <c r="I606" s="78"/>
    </row>
    <row r="607" spans="9:9" x14ac:dyDescent="0.25">
      <c r="I607" s="78"/>
    </row>
    <row r="608" spans="9:9" x14ac:dyDescent="0.25">
      <c r="I608" s="78"/>
    </row>
    <row r="609" spans="9:9" x14ac:dyDescent="0.25">
      <c r="I609" s="78"/>
    </row>
    <row r="610" spans="9:9" x14ac:dyDescent="0.25">
      <c r="I610" s="78"/>
    </row>
    <row r="611" spans="9:9" x14ac:dyDescent="0.25">
      <c r="I611" s="78"/>
    </row>
    <row r="612" spans="9:9" x14ac:dyDescent="0.25">
      <c r="I612" s="78"/>
    </row>
    <row r="613" spans="9:9" x14ac:dyDescent="0.25">
      <c r="I613" s="78"/>
    </row>
    <row r="614" spans="9:9" x14ac:dyDescent="0.25">
      <c r="I614" s="78"/>
    </row>
    <row r="615" spans="9:9" x14ac:dyDescent="0.25">
      <c r="I615" s="78"/>
    </row>
    <row r="616" spans="9:9" x14ac:dyDescent="0.25">
      <c r="I616" s="78"/>
    </row>
    <row r="617" spans="9:9" x14ac:dyDescent="0.25">
      <c r="I617" s="78"/>
    </row>
    <row r="618" spans="9:9" x14ac:dyDescent="0.25">
      <c r="I618" s="78"/>
    </row>
    <row r="619" spans="9:9" x14ac:dyDescent="0.25">
      <c r="I619" s="78"/>
    </row>
    <row r="620" spans="9:9" x14ac:dyDescent="0.25">
      <c r="I620" s="78"/>
    </row>
    <row r="621" spans="9:9" x14ac:dyDescent="0.25">
      <c r="I621" s="78"/>
    </row>
    <row r="622" spans="9:9" x14ac:dyDescent="0.25">
      <c r="I622" s="78"/>
    </row>
    <row r="623" spans="9:9" x14ac:dyDescent="0.25">
      <c r="I623" s="78"/>
    </row>
    <row r="624" spans="9:9" x14ac:dyDescent="0.25">
      <c r="I624" s="78"/>
    </row>
    <row r="625" spans="9:9" x14ac:dyDescent="0.25">
      <c r="I625" s="78"/>
    </row>
    <row r="626" spans="9:9" x14ac:dyDescent="0.25">
      <c r="I626" s="78"/>
    </row>
    <row r="627" spans="9:9" x14ac:dyDescent="0.25">
      <c r="I627" s="78"/>
    </row>
    <row r="628" spans="9:9" x14ac:dyDescent="0.25">
      <c r="I628" s="78"/>
    </row>
    <row r="629" spans="9:9" x14ac:dyDescent="0.25">
      <c r="I629" s="78"/>
    </row>
    <row r="630" spans="9:9" x14ac:dyDescent="0.25">
      <c r="I630" s="78"/>
    </row>
    <row r="631" spans="9:9" x14ac:dyDescent="0.25">
      <c r="I631" s="78"/>
    </row>
    <row r="632" spans="9:9" x14ac:dyDescent="0.25">
      <c r="I632" s="78"/>
    </row>
    <row r="633" spans="9:9" x14ac:dyDescent="0.25">
      <c r="I633" s="78"/>
    </row>
    <row r="634" spans="9:9" x14ac:dyDescent="0.25">
      <c r="I634" s="78"/>
    </row>
    <row r="635" spans="9:9" x14ac:dyDescent="0.25">
      <c r="I635" s="78"/>
    </row>
    <row r="636" spans="9:9" x14ac:dyDescent="0.25">
      <c r="I636" s="78"/>
    </row>
    <row r="637" spans="9:9" x14ac:dyDescent="0.25">
      <c r="I637" s="78"/>
    </row>
    <row r="638" spans="9:9" x14ac:dyDescent="0.25">
      <c r="I638" s="78"/>
    </row>
    <row r="639" spans="9:9" x14ac:dyDescent="0.25">
      <c r="I639" s="78"/>
    </row>
    <row r="640" spans="9:9" x14ac:dyDescent="0.25">
      <c r="I640" s="78"/>
    </row>
    <row r="641" spans="9:9" x14ac:dyDescent="0.25">
      <c r="I641" s="78"/>
    </row>
    <row r="642" spans="9:9" x14ac:dyDescent="0.25">
      <c r="I642" s="78"/>
    </row>
    <row r="643" spans="9:9" x14ac:dyDescent="0.25">
      <c r="I643" s="78"/>
    </row>
    <row r="644" spans="9:9" x14ac:dyDescent="0.25">
      <c r="I644" s="78"/>
    </row>
    <row r="645" spans="9:9" x14ac:dyDescent="0.25">
      <c r="I645" s="78"/>
    </row>
    <row r="646" spans="9:9" x14ac:dyDescent="0.25">
      <c r="I646" s="78"/>
    </row>
    <row r="647" spans="9:9" x14ac:dyDescent="0.25">
      <c r="I647" s="78"/>
    </row>
    <row r="648" spans="9:9" x14ac:dyDescent="0.25">
      <c r="I648" s="78"/>
    </row>
    <row r="649" spans="9:9" x14ac:dyDescent="0.25">
      <c r="I649" s="78"/>
    </row>
    <row r="650" spans="9:9" x14ac:dyDescent="0.25">
      <c r="I650" s="78"/>
    </row>
    <row r="651" spans="9:9" x14ac:dyDescent="0.25">
      <c r="I651" s="78"/>
    </row>
    <row r="652" spans="9:9" x14ac:dyDescent="0.25">
      <c r="I652" s="78"/>
    </row>
    <row r="653" spans="9:9" x14ac:dyDescent="0.25">
      <c r="I653" s="78"/>
    </row>
    <row r="654" spans="9:9" x14ac:dyDescent="0.25">
      <c r="I654" s="78"/>
    </row>
    <row r="655" spans="9:9" x14ac:dyDescent="0.25">
      <c r="I655" s="78"/>
    </row>
    <row r="656" spans="9:9" x14ac:dyDescent="0.25">
      <c r="I656" s="78"/>
    </row>
    <row r="657" spans="9:9" x14ac:dyDescent="0.25">
      <c r="I657" s="78"/>
    </row>
    <row r="658" spans="9:9" x14ac:dyDescent="0.25">
      <c r="I658" s="78"/>
    </row>
    <row r="659" spans="9:9" x14ac:dyDescent="0.25">
      <c r="I659" s="78"/>
    </row>
    <row r="660" spans="9:9" x14ac:dyDescent="0.25">
      <c r="I660" s="78"/>
    </row>
    <row r="661" spans="9:9" x14ac:dyDescent="0.25">
      <c r="I661" s="78"/>
    </row>
    <row r="662" spans="9:9" x14ac:dyDescent="0.25">
      <c r="I662" s="78"/>
    </row>
    <row r="663" spans="9:9" x14ac:dyDescent="0.25">
      <c r="I663" s="78"/>
    </row>
    <row r="664" spans="9:9" x14ac:dyDescent="0.25">
      <c r="I664" s="78"/>
    </row>
    <row r="665" spans="9:9" x14ac:dyDescent="0.25">
      <c r="I665" s="78"/>
    </row>
    <row r="666" spans="9:9" x14ac:dyDescent="0.25">
      <c r="I666" s="78"/>
    </row>
    <row r="667" spans="9:9" x14ac:dyDescent="0.25">
      <c r="I667" s="78"/>
    </row>
    <row r="668" spans="9:9" x14ac:dyDescent="0.25">
      <c r="I668" s="78"/>
    </row>
    <row r="669" spans="9:9" x14ac:dyDescent="0.25">
      <c r="I669" s="78"/>
    </row>
    <row r="670" spans="9:9" x14ac:dyDescent="0.25">
      <c r="I670" s="78"/>
    </row>
    <row r="671" spans="9:9" x14ac:dyDescent="0.25">
      <c r="I671" s="78"/>
    </row>
    <row r="672" spans="9:9" x14ac:dyDescent="0.25">
      <c r="I672" s="78"/>
    </row>
    <row r="673" spans="9:9" x14ac:dyDescent="0.25">
      <c r="I673" s="78"/>
    </row>
    <row r="674" spans="9:9" x14ac:dyDescent="0.25">
      <c r="I674" s="78"/>
    </row>
    <row r="675" spans="9:9" x14ac:dyDescent="0.25">
      <c r="I675" s="78"/>
    </row>
    <row r="676" spans="9:9" x14ac:dyDescent="0.25">
      <c r="I676" s="78"/>
    </row>
    <row r="677" spans="9:9" x14ac:dyDescent="0.25">
      <c r="I677" s="78"/>
    </row>
    <row r="678" spans="9:9" x14ac:dyDescent="0.25">
      <c r="I678" s="78"/>
    </row>
    <row r="679" spans="9:9" x14ac:dyDescent="0.25">
      <c r="I679" s="78"/>
    </row>
    <row r="680" spans="9:9" x14ac:dyDescent="0.25">
      <c r="I680" s="78"/>
    </row>
    <row r="681" spans="9:9" x14ac:dyDescent="0.25">
      <c r="I681" s="78"/>
    </row>
    <row r="682" spans="9:9" x14ac:dyDescent="0.25">
      <c r="I682" s="78"/>
    </row>
    <row r="683" spans="9:9" x14ac:dyDescent="0.25">
      <c r="I683" s="78"/>
    </row>
    <row r="684" spans="9:9" x14ac:dyDescent="0.25">
      <c r="I684" s="78"/>
    </row>
    <row r="685" spans="9:9" x14ac:dyDescent="0.25">
      <c r="I685" s="78"/>
    </row>
    <row r="686" spans="9:9" x14ac:dyDescent="0.25">
      <c r="I686" s="78"/>
    </row>
    <row r="687" spans="9:9" x14ac:dyDescent="0.25">
      <c r="I687" s="78"/>
    </row>
    <row r="688" spans="9:9" x14ac:dyDescent="0.25">
      <c r="I688" s="78"/>
    </row>
    <row r="689" spans="9:9" x14ac:dyDescent="0.25">
      <c r="I689" s="78"/>
    </row>
    <row r="690" spans="9:9" x14ac:dyDescent="0.25">
      <c r="I690" s="78"/>
    </row>
    <row r="691" spans="9:9" x14ac:dyDescent="0.25">
      <c r="I691" s="78"/>
    </row>
    <row r="692" spans="9:9" x14ac:dyDescent="0.25">
      <c r="I692" s="78"/>
    </row>
    <row r="693" spans="9:9" x14ac:dyDescent="0.25">
      <c r="I693" s="78"/>
    </row>
    <row r="694" spans="9:9" x14ac:dyDescent="0.25">
      <c r="I694" s="78"/>
    </row>
    <row r="695" spans="9:9" x14ac:dyDescent="0.25">
      <c r="I695" s="78"/>
    </row>
    <row r="696" spans="9:9" x14ac:dyDescent="0.25">
      <c r="I696" s="78"/>
    </row>
    <row r="697" spans="9:9" x14ac:dyDescent="0.25">
      <c r="I697" s="78"/>
    </row>
    <row r="698" spans="9:9" x14ac:dyDescent="0.25">
      <c r="I698" s="78"/>
    </row>
    <row r="699" spans="9:9" x14ac:dyDescent="0.25">
      <c r="I699" s="78"/>
    </row>
    <row r="700" spans="9:9" x14ac:dyDescent="0.25">
      <c r="I700" s="78"/>
    </row>
    <row r="701" spans="9:9" x14ac:dyDescent="0.25">
      <c r="I701" s="78"/>
    </row>
    <row r="702" spans="9:9" x14ac:dyDescent="0.25">
      <c r="I702" s="78"/>
    </row>
    <row r="703" spans="9:9" x14ac:dyDescent="0.25">
      <c r="I703" s="78"/>
    </row>
    <row r="704" spans="9:9" x14ac:dyDescent="0.25">
      <c r="I704" s="78"/>
    </row>
    <row r="705" spans="9:9" x14ac:dyDescent="0.25">
      <c r="I705" s="78"/>
    </row>
    <row r="706" spans="9:9" x14ac:dyDescent="0.25">
      <c r="I706" s="78"/>
    </row>
    <row r="707" spans="9:9" x14ac:dyDescent="0.25">
      <c r="I707" s="78"/>
    </row>
    <row r="708" spans="9:9" x14ac:dyDescent="0.25">
      <c r="I708" s="78"/>
    </row>
    <row r="709" spans="9:9" x14ac:dyDescent="0.25">
      <c r="I709" s="78"/>
    </row>
    <row r="710" spans="9:9" x14ac:dyDescent="0.25">
      <c r="I710" s="78"/>
    </row>
    <row r="711" spans="9:9" x14ac:dyDescent="0.25">
      <c r="I711" s="78"/>
    </row>
    <row r="712" spans="9:9" x14ac:dyDescent="0.25">
      <c r="I712" s="78"/>
    </row>
    <row r="713" spans="9:9" x14ac:dyDescent="0.25">
      <c r="I713" s="78"/>
    </row>
    <row r="714" spans="9:9" x14ac:dyDescent="0.25">
      <c r="I714" s="78"/>
    </row>
    <row r="715" spans="9:9" x14ac:dyDescent="0.25">
      <c r="I715" s="78"/>
    </row>
    <row r="716" spans="9:9" x14ac:dyDescent="0.25">
      <c r="I716" s="78"/>
    </row>
    <row r="717" spans="9:9" x14ac:dyDescent="0.25">
      <c r="I717" s="78"/>
    </row>
    <row r="718" spans="9:9" x14ac:dyDescent="0.25">
      <c r="I718" s="78"/>
    </row>
    <row r="719" spans="9:9" x14ac:dyDescent="0.25">
      <c r="I719" s="78"/>
    </row>
    <row r="720" spans="9:9" x14ac:dyDescent="0.25">
      <c r="I720" s="78"/>
    </row>
    <row r="721" spans="9:9" x14ac:dyDescent="0.25">
      <c r="I721" s="78"/>
    </row>
    <row r="722" spans="9:9" x14ac:dyDescent="0.25">
      <c r="I722" s="78"/>
    </row>
    <row r="723" spans="9:9" x14ac:dyDescent="0.25">
      <c r="I723" s="78"/>
    </row>
    <row r="724" spans="9:9" x14ac:dyDescent="0.25">
      <c r="I724" s="78"/>
    </row>
    <row r="725" spans="9:9" x14ac:dyDescent="0.25">
      <c r="I725" s="78"/>
    </row>
    <row r="726" spans="9:9" x14ac:dyDescent="0.25">
      <c r="I726" s="78"/>
    </row>
    <row r="727" spans="9:9" x14ac:dyDescent="0.25">
      <c r="I727" s="78"/>
    </row>
    <row r="728" spans="9:9" x14ac:dyDescent="0.25">
      <c r="I728" s="78"/>
    </row>
    <row r="729" spans="9:9" x14ac:dyDescent="0.25">
      <c r="I729" s="78"/>
    </row>
    <row r="730" spans="9:9" x14ac:dyDescent="0.25">
      <c r="I730" s="78"/>
    </row>
    <row r="731" spans="9:9" x14ac:dyDescent="0.25">
      <c r="I731" s="78"/>
    </row>
    <row r="732" spans="9:9" x14ac:dyDescent="0.25">
      <c r="I732" s="78"/>
    </row>
    <row r="733" spans="9:9" x14ac:dyDescent="0.25">
      <c r="I733" s="78"/>
    </row>
    <row r="734" spans="9:9" x14ac:dyDescent="0.25">
      <c r="I734" s="78"/>
    </row>
    <row r="735" spans="9:9" x14ac:dyDescent="0.25">
      <c r="I735" s="78"/>
    </row>
    <row r="736" spans="9:9" x14ac:dyDescent="0.25">
      <c r="I736" s="78"/>
    </row>
    <row r="737" spans="9:9" x14ac:dyDescent="0.25">
      <c r="I737" s="78"/>
    </row>
    <row r="738" spans="9:9" x14ac:dyDescent="0.25">
      <c r="I738" s="78"/>
    </row>
    <row r="739" spans="9:9" x14ac:dyDescent="0.25">
      <c r="I739" s="78"/>
    </row>
    <row r="740" spans="9:9" x14ac:dyDescent="0.25">
      <c r="I740" s="78"/>
    </row>
    <row r="741" spans="9:9" x14ac:dyDescent="0.25">
      <c r="I741" s="78"/>
    </row>
    <row r="742" spans="9:9" x14ac:dyDescent="0.25">
      <c r="I742" s="78"/>
    </row>
    <row r="743" spans="9:9" x14ac:dyDescent="0.25">
      <c r="I743" s="78"/>
    </row>
    <row r="744" spans="9:9" x14ac:dyDescent="0.25">
      <c r="I744" s="78"/>
    </row>
    <row r="745" spans="9:9" x14ac:dyDescent="0.25">
      <c r="I745" s="78"/>
    </row>
    <row r="746" spans="9:9" x14ac:dyDescent="0.25">
      <c r="I746" s="78"/>
    </row>
    <row r="747" spans="9:9" x14ac:dyDescent="0.25">
      <c r="I747" s="78"/>
    </row>
    <row r="748" spans="9:9" x14ac:dyDescent="0.25">
      <c r="I748" s="78"/>
    </row>
    <row r="749" spans="9:9" x14ac:dyDescent="0.25">
      <c r="I749" s="78"/>
    </row>
    <row r="750" spans="9:9" x14ac:dyDescent="0.25">
      <c r="I750" s="78"/>
    </row>
    <row r="751" spans="9:9" x14ac:dyDescent="0.25">
      <c r="I751" s="78"/>
    </row>
    <row r="752" spans="9:9" x14ac:dyDescent="0.25">
      <c r="I752" s="78"/>
    </row>
    <row r="753" spans="9:9" x14ac:dyDescent="0.25">
      <c r="I753" s="78"/>
    </row>
    <row r="754" spans="9:9" x14ac:dyDescent="0.25">
      <c r="I754" s="78"/>
    </row>
    <row r="755" spans="9:9" x14ac:dyDescent="0.25">
      <c r="I755" s="78"/>
    </row>
    <row r="756" spans="9:9" x14ac:dyDescent="0.25">
      <c r="I756" s="78"/>
    </row>
    <row r="757" spans="9:9" x14ac:dyDescent="0.25">
      <c r="I757" s="78"/>
    </row>
    <row r="758" spans="9:9" x14ac:dyDescent="0.25">
      <c r="I758" s="78"/>
    </row>
    <row r="759" spans="9:9" x14ac:dyDescent="0.25">
      <c r="I759" s="78"/>
    </row>
    <row r="760" spans="9:9" x14ac:dyDescent="0.25">
      <c r="I760" s="78"/>
    </row>
    <row r="761" spans="9:9" x14ac:dyDescent="0.25">
      <c r="I761" s="78"/>
    </row>
    <row r="762" spans="9:9" x14ac:dyDescent="0.25">
      <c r="I762" s="78"/>
    </row>
    <row r="763" spans="9:9" x14ac:dyDescent="0.25">
      <c r="I763" s="78"/>
    </row>
    <row r="764" spans="9:9" x14ac:dyDescent="0.25">
      <c r="I764" s="78"/>
    </row>
    <row r="765" spans="9:9" x14ac:dyDescent="0.25">
      <c r="I765" s="78"/>
    </row>
    <row r="766" spans="9:9" x14ac:dyDescent="0.25">
      <c r="I766" s="78"/>
    </row>
    <row r="767" spans="9:9" x14ac:dyDescent="0.25">
      <c r="I767" s="78"/>
    </row>
    <row r="768" spans="9:9" x14ac:dyDescent="0.25">
      <c r="I768" s="78"/>
    </row>
    <row r="769" spans="9:9" x14ac:dyDescent="0.25">
      <c r="I769" s="78"/>
    </row>
    <row r="770" spans="9:9" x14ac:dyDescent="0.25">
      <c r="I770" s="78"/>
    </row>
    <row r="771" spans="9:9" x14ac:dyDescent="0.25">
      <c r="I771" s="78"/>
    </row>
    <row r="772" spans="9:9" x14ac:dyDescent="0.25">
      <c r="I772" s="78"/>
    </row>
    <row r="773" spans="9:9" x14ac:dyDescent="0.25">
      <c r="I773" s="78"/>
    </row>
    <row r="774" spans="9:9" x14ac:dyDescent="0.25">
      <c r="I774" s="78"/>
    </row>
    <row r="775" spans="9:9" x14ac:dyDescent="0.25">
      <c r="I775" s="78"/>
    </row>
    <row r="776" spans="9:9" x14ac:dyDescent="0.25">
      <c r="I776" s="78"/>
    </row>
    <row r="777" spans="9:9" x14ac:dyDescent="0.25">
      <c r="I777" s="78"/>
    </row>
    <row r="778" spans="9:9" x14ac:dyDescent="0.25">
      <c r="I778" s="78"/>
    </row>
    <row r="779" spans="9:9" x14ac:dyDescent="0.25">
      <c r="I779" s="78"/>
    </row>
    <row r="780" spans="9:9" x14ac:dyDescent="0.25">
      <c r="I780" s="78"/>
    </row>
    <row r="781" spans="9:9" x14ac:dyDescent="0.25">
      <c r="I781" s="78"/>
    </row>
    <row r="782" spans="9:9" x14ac:dyDescent="0.25">
      <c r="I782" s="78"/>
    </row>
    <row r="783" spans="9:9" x14ac:dyDescent="0.25">
      <c r="I783" s="78"/>
    </row>
    <row r="784" spans="9:9" x14ac:dyDescent="0.25">
      <c r="I784" s="78"/>
    </row>
    <row r="785" spans="9:9" x14ac:dyDescent="0.25">
      <c r="I785" s="78"/>
    </row>
    <row r="786" spans="9:9" x14ac:dyDescent="0.25">
      <c r="I786" s="78"/>
    </row>
    <row r="787" spans="9:9" x14ac:dyDescent="0.25">
      <c r="I787" s="78"/>
    </row>
    <row r="788" spans="9:9" x14ac:dyDescent="0.25">
      <c r="I788" s="78"/>
    </row>
    <row r="789" spans="9:9" x14ac:dyDescent="0.25">
      <c r="I789" s="78"/>
    </row>
    <row r="790" spans="9:9" x14ac:dyDescent="0.25">
      <c r="I790" s="78"/>
    </row>
    <row r="791" spans="9:9" x14ac:dyDescent="0.25">
      <c r="I791" s="78"/>
    </row>
    <row r="792" spans="9:9" x14ac:dyDescent="0.25">
      <c r="I792" s="78"/>
    </row>
    <row r="793" spans="9:9" x14ac:dyDescent="0.25">
      <c r="I793" s="78"/>
    </row>
    <row r="794" spans="9:9" x14ac:dyDescent="0.25">
      <c r="I794" s="78"/>
    </row>
    <row r="795" spans="9:9" x14ac:dyDescent="0.25">
      <c r="I795" s="78"/>
    </row>
    <row r="796" spans="9:9" x14ac:dyDescent="0.25">
      <c r="I796" s="78"/>
    </row>
    <row r="797" spans="9:9" x14ac:dyDescent="0.25">
      <c r="I797" s="78"/>
    </row>
    <row r="798" spans="9:9" x14ac:dyDescent="0.25">
      <c r="I798" s="78"/>
    </row>
    <row r="799" spans="9:9" x14ac:dyDescent="0.25">
      <c r="I799" s="78"/>
    </row>
    <row r="800" spans="9:9" x14ac:dyDescent="0.25">
      <c r="I800" s="78"/>
    </row>
    <row r="801" spans="9:9" x14ac:dyDescent="0.25">
      <c r="I801" s="78"/>
    </row>
    <row r="802" spans="9:9" x14ac:dyDescent="0.25">
      <c r="I802" s="78"/>
    </row>
    <row r="803" spans="9:9" x14ac:dyDescent="0.25">
      <c r="I803" s="78"/>
    </row>
    <row r="804" spans="9:9" x14ac:dyDescent="0.25">
      <c r="I804" s="78"/>
    </row>
    <row r="805" spans="9:9" x14ac:dyDescent="0.25">
      <c r="I805" s="78"/>
    </row>
    <row r="806" spans="9:9" x14ac:dyDescent="0.25">
      <c r="I806" s="78"/>
    </row>
    <row r="807" spans="9:9" x14ac:dyDescent="0.25">
      <c r="I807" s="78"/>
    </row>
    <row r="808" spans="9:9" x14ac:dyDescent="0.25">
      <c r="I808" s="78"/>
    </row>
    <row r="809" spans="9:9" x14ac:dyDescent="0.25">
      <c r="I809" s="78"/>
    </row>
    <row r="810" spans="9:9" x14ac:dyDescent="0.25">
      <c r="I810" s="78"/>
    </row>
    <row r="811" spans="9:9" x14ac:dyDescent="0.25">
      <c r="I811" s="78"/>
    </row>
    <row r="812" spans="9:9" x14ac:dyDescent="0.25">
      <c r="I812" s="78"/>
    </row>
    <row r="813" spans="9:9" x14ac:dyDescent="0.25">
      <c r="I813" s="78"/>
    </row>
    <row r="814" spans="9:9" x14ac:dyDescent="0.25">
      <c r="I814" s="78"/>
    </row>
    <row r="815" spans="9:9" x14ac:dyDescent="0.25">
      <c r="I815" s="78"/>
    </row>
    <row r="816" spans="9:9" x14ac:dyDescent="0.25">
      <c r="I816" s="78"/>
    </row>
    <row r="817" spans="9:9" x14ac:dyDescent="0.25">
      <c r="I817" s="78"/>
    </row>
    <row r="818" spans="9:9" x14ac:dyDescent="0.25">
      <c r="I818" s="78"/>
    </row>
    <row r="819" spans="9:9" x14ac:dyDescent="0.25">
      <c r="I819" s="78"/>
    </row>
    <row r="820" spans="9:9" x14ac:dyDescent="0.25">
      <c r="I820" s="78"/>
    </row>
    <row r="821" spans="9:9" x14ac:dyDescent="0.25">
      <c r="I821" s="78"/>
    </row>
    <row r="822" spans="9:9" x14ac:dyDescent="0.25">
      <c r="I822" s="78"/>
    </row>
    <row r="823" spans="9:9" x14ac:dyDescent="0.25">
      <c r="I823" s="78"/>
    </row>
    <row r="824" spans="9:9" x14ac:dyDescent="0.25">
      <c r="I824" s="78"/>
    </row>
    <row r="825" spans="9:9" x14ac:dyDescent="0.25">
      <c r="I825" s="78"/>
    </row>
    <row r="826" spans="9:9" x14ac:dyDescent="0.25">
      <c r="I826" s="78"/>
    </row>
    <row r="827" spans="9:9" x14ac:dyDescent="0.25">
      <c r="I827" s="78"/>
    </row>
    <row r="828" spans="9:9" x14ac:dyDescent="0.25">
      <c r="I828" s="78"/>
    </row>
    <row r="829" spans="9:9" x14ac:dyDescent="0.25">
      <c r="I829" s="78"/>
    </row>
    <row r="830" spans="9:9" x14ac:dyDescent="0.25">
      <c r="I830" s="78"/>
    </row>
    <row r="831" spans="9:9" x14ac:dyDescent="0.25">
      <c r="I831" s="78"/>
    </row>
    <row r="832" spans="9:9" x14ac:dyDescent="0.25">
      <c r="I832" s="78"/>
    </row>
    <row r="833" spans="9:9" x14ac:dyDescent="0.25">
      <c r="I833" s="78"/>
    </row>
    <row r="834" spans="9:9" x14ac:dyDescent="0.25">
      <c r="I834" s="78"/>
    </row>
    <row r="835" spans="9:9" x14ac:dyDescent="0.25">
      <c r="I835" s="78"/>
    </row>
    <row r="836" spans="9:9" x14ac:dyDescent="0.25">
      <c r="I836" s="78"/>
    </row>
    <row r="837" spans="9:9" x14ac:dyDescent="0.25">
      <c r="I837" s="78"/>
    </row>
    <row r="838" spans="9:9" x14ac:dyDescent="0.25">
      <c r="I838" s="78"/>
    </row>
    <row r="839" spans="9:9" x14ac:dyDescent="0.25">
      <c r="I839" s="78"/>
    </row>
    <row r="840" spans="9:9" x14ac:dyDescent="0.25">
      <c r="I840" s="78"/>
    </row>
    <row r="841" spans="9:9" x14ac:dyDescent="0.25">
      <c r="I841" s="78"/>
    </row>
    <row r="842" spans="9:9" x14ac:dyDescent="0.25">
      <c r="I842" s="78"/>
    </row>
    <row r="843" spans="9:9" x14ac:dyDescent="0.25">
      <c r="I843" s="78"/>
    </row>
    <row r="844" spans="9:9" x14ac:dyDescent="0.25">
      <c r="I844" s="78"/>
    </row>
    <row r="845" spans="9:9" x14ac:dyDescent="0.25">
      <c r="I845" s="78"/>
    </row>
    <row r="846" spans="9:9" x14ac:dyDescent="0.25">
      <c r="I846" s="78"/>
    </row>
    <row r="847" spans="9:9" x14ac:dyDescent="0.25">
      <c r="I847" s="78"/>
    </row>
    <row r="848" spans="9:9" x14ac:dyDescent="0.25">
      <c r="I848" s="78"/>
    </row>
    <row r="849" spans="9:9" x14ac:dyDescent="0.25">
      <c r="I849" s="78"/>
    </row>
    <row r="850" spans="9:9" x14ac:dyDescent="0.25">
      <c r="I850" s="78"/>
    </row>
    <row r="851" spans="9:9" x14ac:dyDescent="0.25">
      <c r="I851" s="78"/>
    </row>
    <row r="852" spans="9:9" x14ac:dyDescent="0.25">
      <c r="I852" s="78"/>
    </row>
    <row r="853" spans="9:9" x14ac:dyDescent="0.25">
      <c r="I853" s="78"/>
    </row>
    <row r="854" spans="9:9" x14ac:dyDescent="0.25">
      <c r="I854" s="78"/>
    </row>
    <row r="855" spans="9:9" x14ac:dyDescent="0.25">
      <c r="I855" s="78"/>
    </row>
    <row r="856" spans="9:9" x14ac:dyDescent="0.25">
      <c r="I856" s="78"/>
    </row>
    <row r="857" spans="9:9" x14ac:dyDescent="0.25">
      <c r="I857" s="78"/>
    </row>
    <row r="858" spans="9:9" x14ac:dyDescent="0.25">
      <c r="I858" s="78"/>
    </row>
    <row r="859" spans="9:9" x14ac:dyDescent="0.25">
      <c r="I859" s="78"/>
    </row>
    <row r="860" spans="9:9" x14ac:dyDescent="0.25">
      <c r="I860" s="78"/>
    </row>
    <row r="861" spans="9:9" x14ac:dyDescent="0.25">
      <c r="I861" s="78"/>
    </row>
    <row r="862" spans="9:9" x14ac:dyDescent="0.25">
      <c r="I862" s="78"/>
    </row>
    <row r="863" spans="9:9" x14ac:dyDescent="0.25">
      <c r="I863" s="78"/>
    </row>
    <row r="864" spans="9:9" x14ac:dyDescent="0.25">
      <c r="I864" s="78"/>
    </row>
    <row r="865" spans="9:9" x14ac:dyDescent="0.25">
      <c r="I865" s="78"/>
    </row>
    <row r="866" spans="9:9" x14ac:dyDescent="0.25">
      <c r="I866" s="78"/>
    </row>
    <row r="867" spans="9:9" x14ac:dyDescent="0.25">
      <c r="I867" s="78"/>
    </row>
    <row r="868" spans="9:9" x14ac:dyDescent="0.25">
      <c r="I868" s="78"/>
    </row>
    <row r="869" spans="9:9" x14ac:dyDescent="0.25">
      <c r="I869" s="78"/>
    </row>
    <row r="870" spans="9:9" x14ac:dyDescent="0.25">
      <c r="I870" s="78"/>
    </row>
    <row r="871" spans="9:9" x14ac:dyDescent="0.25">
      <c r="I871" s="78"/>
    </row>
    <row r="872" spans="9:9" x14ac:dyDescent="0.25">
      <c r="I872" s="78"/>
    </row>
    <row r="873" spans="9:9" x14ac:dyDescent="0.25">
      <c r="I873" s="78"/>
    </row>
    <row r="874" spans="9:9" x14ac:dyDescent="0.25">
      <c r="I874" s="78"/>
    </row>
    <row r="875" spans="9:9" x14ac:dyDescent="0.25">
      <c r="I875" s="78"/>
    </row>
    <row r="876" spans="9:9" x14ac:dyDescent="0.25">
      <c r="I876" s="78"/>
    </row>
    <row r="877" spans="9:9" x14ac:dyDescent="0.25">
      <c r="I877" s="78"/>
    </row>
    <row r="878" spans="9:9" x14ac:dyDescent="0.25">
      <c r="I878" s="78"/>
    </row>
    <row r="879" spans="9:9" x14ac:dyDescent="0.25">
      <c r="I879" s="78"/>
    </row>
    <row r="880" spans="9:9" x14ac:dyDescent="0.25">
      <c r="I880" s="78"/>
    </row>
    <row r="881" spans="9:9" x14ac:dyDescent="0.25">
      <c r="I881" s="78"/>
    </row>
    <row r="882" spans="9:9" x14ac:dyDescent="0.25">
      <c r="I882" s="78"/>
    </row>
    <row r="883" spans="9:9" x14ac:dyDescent="0.25">
      <c r="I883" s="78"/>
    </row>
    <row r="884" spans="9:9" x14ac:dyDescent="0.25">
      <c r="I884" s="78"/>
    </row>
    <row r="885" spans="9:9" x14ac:dyDescent="0.25">
      <c r="I885" s="78"/>
    </row>
    <row r="886" spans="9:9" x14ac:dyDescent="0.25">
      <c r="I886" s="78"/>
    </row>
    <row r="887" spans="9:9" x14ac:dyDescent="0.25">
      <c r="I887" s="78"/>
    </row>
    <row r="888" spans="9:9" x14ac:dyDescent="0.25">
      <c r="I888" s="78"/>
    </row>
    <row r="889" spans="9:9" x14ac:dyDescent="0.25">
      <c r="I889" s="78"/>
    </row>
    <row r="890" spans="9:9" x14ac:dyDescent="0.25">
      <c r="I890" s="78"/>
    </row>
    <row r="891" spans="9:9" x14ac:dyDescent="0.25">
      <c r="I891" s="78"/>
    </row>
    <row r="892" spans="9:9" x14ac:dyDescent="0.25">
      <c r="I892" s="78"/>
    </row>
    <row r="893" spans="9:9" x14ac:dyDescent="0.25">
      <c r="I893" s="78"/>
    </row>
    <row r="894" spans="9:9" x14ac:dyDescent="0.25">
      <c r="I894" s="78"/>
    </row>
    <row r="895" spans="9:9" x14ac:dyDescent="0.25">
      <c r="I895" s="78"/>
    </row>
    <row r="896" spans="9:9" x14ac:dyDescent="0.25">
      <c r="I896" s="78"/>
    </row>
    <row r="897" spans="9:9" x14ac:dyDescent="0.25">
      <c r="I897" s="78"/>
    </row>
    <row r="898" spans="9:9" x14ac:dyDescent="0.25">
      <c r="I898" s="78"/>
    </row>
    <row r="899" spans="9:9" x14ac:dyDescent="0.25">
      <c r="I899" s="78"/>
    </row>
    <row r="900" spans="9:9" x14ac:dyDescent="0.25">
      <c r="I900" s="78"/>
    </row>
    <row r="901" spans="9:9" x14ac:dyDescent="0.25">
      <c r="I901" s="78"/>
    </row>
    <row r="902" spans="9:9" x14ac:dyDescent="0.25">
      <c r="I902" s="78"/>
    </row>
    <row r="903" spans="9:9" x14ac:dyDescent="0.25">
      <c r="I903" s="78"/>
    </row>
    <row r="904" spans="9:9" x14ac:dyDescent="0.25">
      <c r="I904" s="78"/>
    </row>
    <row r="905" spans="9:9" x14ac:dyDescent="0.25">
      <c r="I905" s="78"/>
    </row>
    <row r="906" spans="9:9" x14ac:dyDescent="0.25">
      <c r="I906" s="78"/>
    </row>
    <row r="907" spans="9:9" x14ac:dyDescent="0.25">
      <c r="I907" s="78"/>
    </row>
    <row r="908" spans="9:9" x14ac:dyDescent="0.25">
      <c r="I908" s="78"/>
    </row>
    <row r="909" spans="9:9" x14ac:dyDescent="0.25">
      <c r="I909" s="78"/>
    </row>
    <row r="910" spans="9:9" x14ac:dyDescent="0.25">
      <c r="I910" s="78"/>
    </row>
    <row r="911" spans="9:9" x14ac:dyDescent="0.25">
      <c r="I911" s="78"/>
    </row>
    <row r="912" spans="9:9" x14ac:dyDescent="0.25">
      <c r="I912" s="78"/>
    </row>
    <row r="913" spans="9:9" x14ac:dyDescent="0.25">
      <c r="I913" s="78"/>
    </row>
    <row r="914" spans="9:9" x14ac:dyDescent="0.25">
      <c r="I914" s="78"/>
    </row>
    <row r="915" spans="9:9" x14ac:dyDescent="0.25">
      <c r="I915" s="78"/>
    </row>
    <row r="916" spans="9:9" x14ac:dyDescent="0.25">
      <c r="I916" s="78"/>
    </row>
    <row r="917" spans="9:9" x14ac:dyDescent="0.25">
      <c r="I917" s="78"/>
    </row>
    <row r="918" spans="9:9" x14ac:dyDescent="0.25">
      <c r="I918" s="78"/>
    </row>
    <row r="919" spans="9:9" x14ac:dyDescent="0.25">
      <c r="I919" s="78"/>
    </row>
    <row r="920" spans="9:9" x14ac:dyDescent="0.25">
      <c r="I920" s="78"/>
    </row>
    <row r="921" spans="9:9" x14ac:dyDescent="0.25">
      <c r="I921" s="78"/>
    </row>
    <row r="922" spans="9:9" x14ac:dyDescent="0.25">
      <c r="I922" s="78"/>
    </row>
    <row r="923" spans="9:9" x14ac:dyDescent="0.25">
      <c r="I923" s="78"/>
    </row>
    <row r="924" spans="9:9" x14ac:dyDescent="0.25">
      <c r="I924" s="78"/>
    </row>
    <row r="925" spans="9:9" x14ac:dyDescent="0.25">
      <c r="I925" s="78"/>
    </row>
    <row r="926" spans="9:9" x14ac:dyDescent="0.25">
      <c r="I926" s="78"/>
    </row>
    <row r="927" spans="9:9" x14ac:dyDescent="0.25">
      <c r="I927" s="78"/>
    </row>
    <row r="928" spans="9:9" x14ac:dyDescent="0.25">
      <c r="I928" s="78"/>
    </row>
    <row r="929" spans="9:9" x14ac:dyDescent="0.25">
      <c r="I929" s="78"/>
    </row>
    <row r="930" spans="9:9" x14ac:dyDescent="0.25">
      <c r="I930" s="78"/>
    </row>
    <row r="931" spans="9:9" x14ac:dyDescent="0.25">
      <c r="I931" s="78"/>
    </row>
    <row r="932" spans="9:9" x14ac:dyDescent="0.25">
      <c r="I932" s="78"/>
    </row>
    <row r="933" spans="9:9" x14ac:dyDescent="0.25">
      <c r="I933" s="78"/>
    </row>
    <row r="934" spans="9:9" x14ac:dyDescent="0.25">
      <c r="I934" s="78"/>
    </row>
    <row r="935" spans="9:9" x14ac:dyDescent="0.25">
      <c r="I935" s="78"/>
    </row>
    <row r="936" spans="9:9" x14ac:dyDescent="0.25">
      <c r="I936" s="78"/>
    </row>
    <row r="937" spans="9:9" x14ac:dyDescent="0.25">
      <c r="I937" s="78"/>
    </row>
    <row r="938" spans="9:9" x14ac:dyDescent="0.25">
      <c r="I938" s="78"/>
    </row>
    <row r="939" spans="9:9" x14ac:dyDescent="0.25">
      <c r="I939" s="78"/>
    </row>
    <row r="940" spans="9:9" x14ac:dyDescent="0.25">
      <c r="I940" s="78"/>
    </row>
    <row r="941" spans="9:9" x14ac:dyDescent="0.25">
      <c r="I941" s="78"/>
    </row>
    <row r="942" spans="9:9" x14ac:dyDescent="0.25">
      <c r="I942" s="78"/>
    </row>
    <row r="943" spans="9:9" x14ac:dyDescent="0.25">
      <c r="I943" s="78"/>
    </row>
    <row r="944" spans="9:9" x14ac:dyDescent="0.25">
      <c r="I944" s="78"/>
    </row>
    <row r="945" spans="9:9" x14ac:dyDescent="0.25">
      <c r="I945" s="78"/>
    </row>
    <row r="946" spans="9:9" x14ac:dyDescent="0.25">
      <c r="I946" s="78"/>
    </row>
    <row r="947" spans="9:9" x14ac:dyDescent="0.25">
      <c r="I947" s="78"/>
    </row>
    <row r="948" spans="9:9" x14ac:dyDescent="0.25">
      <c r="I948" s="78"/>
    </row>
    <row r="949" spans="9:9" x14ac:dyDescent="0.25">
      <c r="I949" s="78"/>
    </row>
    <row r="950" spans="9:9" x14ac:dyDescent="0.25">
      <c r="I950" s="78"/>
    </row>
    <row r="951" spans="9:9" x14ac:dyDescent="0.25">
      <c r="I951" s="78"/>
    </row>
    <row r="952" spans="9:9" x14ac:dyDescent="0.25">
      <c r="I952" s="78"/>
    </row>
    <row r="953" spans="9:9" x14ac:dyDescent="0.25">
      <c r="I953" s="78"/>
    </row>
    <row r="954" spans="9:9" x14ac:dyDescent="0.25">
      <c r="I954" s="78"/>
    </row>
    <row r="955" spans="9:9" x14ac:dyDescent="0.25">
      <c r="I955" s="78"/>
    </row>
    <row r="956" spans="9:9" x14ac:dyDescent="0.25">
      <c r="I956" s="78"/>
    </row>
    <row r="957" spans="9:9" x14ac:dyDescent="0.25">
      <c r="I957" s="78"/>
    </row>
    <row r="958" spans="9:9" x14ac:dyDescent="0.25">
      <c r="I958" s="78"/>
    </row>
    <row r="959" spans="9:9" x14ac:dyDescent="0.25">
      <c r="I959" s="78"/>
    </row>
    <row r="960" spans="9:9" x14ac:dyDescent="0.25">
      <c r="I960" s="78"/>
    </row>
    <row r="961" spans="9:9" x14ac:dyDescent="0.25">
      <c r="I961" s="78"/>
    </row>
    <row r="962" spans="9:9" x14ac:dyDescent="0.25">
      <c r="I962" s="78"/>
    </row>
    <row r="963" spans="9:9" x14ac:dyDescent="0.25">
      <c r="I963" s="78"/>
    </row>
    <row r="964" spans="9:9" x14ac:dyDescent="0.25">
      <c r="I964" s="78"/>
    </row>
    <row r="965" spans="9:9" x14ac:dyDescent="0.25">
      <c r="I965" s="78"/>
    </row>
    <row r="966" spans="9:9" x14ac:dyDescent="0.25">
      <c r="I966" s="78"/>
    </row>
    <row r="967" spans="9:9" x14ac:dyDescent="0.25">
      <c r="I967" s="78"/>
    </row>
    <row r="968" spans="9:9" x14ac:dyDescent="0.25">
      <c r="I968" s="78"/>
    </row>
    <row r="969" spans="9:9" x14ac:dyDescent="0.25">
      <c r="I969" s="78"/>
    </row>
    <row r="970" spans="9:9" x14ac:dyDescent="0.25">
      <c r="I970" s="78"/>
    </row>
    <row r="971" spans="9:9" x14ac:dyDescent="0.25">
      <c r="I971" s="78"/>
    </row>
    <row r="972" spans="9:9" x14ac:dyDescent="0.25">
      <c r="I972" s="78"/>
    </row>
    <row r="973" spans="9:9" x14ac:dyDescent="0.25">
      <c r="I973" s="78"/>
    </row>
    <row r="974" spans="9:9" x14ac:dyDescent="0.25">
      <c r="I974" s="78"/>
    </row>
    <row r="975" spans="9:9" x14ac:dyDescent="0.25">
      <c r="I975" s="78"/>
    </row>
    <row r="976" spans="9:9" x14ac:dyDescent="0.25">
      <c r="I976" s="78"/>
    </row>
    <row r="977" spans="9:9" x14ac:dyDescent="0.25">
      <c r="I977" s="78"/>
    </row>
    <row r="978" spans="9:9" x14ac:dyDescent="0.25">
      <c r="I978" s="78"/>
    </row>
    <row r="979" spans="9:9" x14ac:dyDescent="0.25">
      <c r="I979" s="78"/>
    </row>
    <row r="980" spans="9:9" x14ac:dyDescent="0.25">
      <c r="I980" s="78"/>
    </row>
    <row r="981" spans="9:9" x14ac:dyDescent="0.25">
      <c r="I981" s="78"/>
    </row>
    <row r="982" spans="9:9" x14ac:dyDescent="0.25">
      <c r="I982" s="78"/>
    </row>
    <row r="983" spans="9:9" x14ac:dyDescent="0.25">
      <c r="I983" s="78"/>
    </row>
    <row r="984" spans="9:9" x14ac:dyDescent="0.25">
      <c r="I984" s="78"/>
    </row>
    <row r="985" spans="9:9" x14ac:dyDescent="0.25">
      <c r="I985" s="78"/>
    </row>
    <row r="986" spans="9:9" x14ac:dyDescent="0.25">
      <c r="I986" s="78"/>
    </row>
    <row r="987" spans="9:9" x14ac:dyDescent="0.25">
      <c r="I987" s="78"/>
    </row>
    <row r="988" spans="9:9" x14ac:dyDescent="0.25">
      <c r="I988" s="78"/>
    </row>
    <row r="989" spans="9:9" x14ac:dyDescent="0.25">
      <c r="I989" s="78"/>
    </row>
    <row r="990" spans="9:9" x14ac:dyDescent="0.25">
      <c r="I990" s="78"/>
    </row>
    <row r="991" spans="9:9" x14ac:dyDescent="0.25">
      <c r="I991" s="78"/>
    </row>
    <row r="992" spans="9:9" x14ac:dyDescent="0.25">
      <c r="I992" s="78"/>
    </row>
    <row r="993" spans="9:9" x14ac:dyDescent="0.25">
      <c r="I993" s="78"/>
    </row>
    <row r="994" spans="9:9" x14ac:dyDescent="0.25">
      <c r="I994" s="78"/>
    </row>
    <row r="995" spans="9:9" x14ac:dyDescent="0.25">
      <c r="I995" s="78"/>
    </row>
    <row r="996" spans="9:9" x14ac:dyDescent="0.25">
      <c r="I996" s="78"/>
    </row>
    <row r="997" spans="9:9" x14ac:dyDescent="0.25">
      <c r="I997" s="78"/>
    </row>
    <row r="998" spans="9:9" x14ac:dyDescent="0.25">
      <c r="I998" s="78"/>
    </row>
    <row r="999" spans="9:9" x14ac:dyDescent="0.25">
      <c r="I999" s="78"/>
    </row>
    <row r="1000" spans="9:9" x14ac:dyDescent="0.25">
      <c r="I1000" s="78"/>
    </row>
    <row r="1001" spans="9:9" x14ac:dyDescent="0.25">
      <c r="I1001" s="78"/>
    </row>
    <row r="1002" spans="9:9" x14ac:dyDescent="0.25">
      <c r="I1002" s="78"/>
    </row>
    <row r="1003" spans="9:9" x14ac:dyDescent="0.25">
      <c r="I1003" s="78"/>
    </row>
    <row r="1004" spans="9:9" x14ac:dyDescent="0.25">
      <c r="I1004" s="78"/>
    </row>
    <row r="1005" spans="9:9" x14ac:dyDescent="0.25">
      <c r="I1005" s="78"/>
    </row>
    <row r="1006" spans="9:9" x14ac:dyDescent="0.25">
      <c r="I1006" s="78"/>
    </row>
    <row r="1007" spans="9:9" x14ac:dyDescent="0.25">
      <c r="I1007" s="78"/>
    </row>
    <row r="1008" spans="9:9" x14ac:dyDescent="0.25">
      <c r="I1008" s="78"/>
    </row>
    <row r="1009" spans="9:9" x14ac:dyDescent="0.25">
      <c r="I1009" s="78"/>
    </row>
    <row r="1010" spans="9:9" x14ac:dyDescent="0.25">
      <c r="I1010" s="78"/>
    </row>
    <row r="1011" spans="9:9" x14ac:dyDescent="0.25">
      <c r="I1011" s="78"/>
    </row>
    <row r="1012" spans="9:9" x14ac:dyDescent="0.25">
      <c r="I1012" s="78"/>
    </row>
    <row r="1013" spans="9:9" x14ac:dyDescent="0.25">
      <c r="I1013" s="78"/>
    </row>
    <row r="1014" spans="9:9" x14ac:dyDescent="0.25">
      <c r="I1014" s="78"/>
    </row>
    <row r="1015" spans="9:9" x14ac:dyDescent="0.25">
      <c r="I1015" s="78"/>
    </row>
    <row r="1016" spans="9:9" x14ac:dyDescent="0.25">
      <c r="I1016" s="78"/>
    </row>
    <row r="1017" spans="9:9" x14ac:dyDescent="0.25">
      <c r="I1017" s="78"/>
    </row>
    <row r="1018" spans="9:9" x14ac:dyDescent="0.25">
      <c r="I1018" s="78"/>
    </row>
    <row r="1019" spans="9:9" x14ac:dyDescent="0.25">
      <c r="I1019" s="78"/>
    </row>
    <row r="1020" spans="9:9" x14ac:dyDescent="0.25">
      <c r="I1020" s="78"/>
    </row>
    <row r="1021" spans="9:9" x14ac:dyDescent="0.25">
      <c r="I1021" s="78"/>
    </row>
    <row r="1022" spans="9:9" x14ac:dyDescent="0.25">
      <c r="I1022" s="78"/>
    </row>
    <row r="1023" spans="9:9" x14ac:dyDescent="0.25">
      <c r="I1023" s="78"/>
    </row>
    <row r="1024" spans="9:9" x14ac:dyDescent="0.25">
      <c r="I1024" s="78"/>
    </row>
    <row r="1025" spans="9:9" x14ac:dyDescent="0.25">
      <c r="I1025" s="78"/>
    </row>
    <row r="1026" spans="9:9" x14ac:dyDescent="0.25">
      <c r="I1026" s="78"/>
    </row>
    <row r="1027" spans="9:9" x14ac:dyDescent="0.25">
      <c r="I1027" s="78"/>
    </row>
    <row r="1028" spans="9:9" x14ac:dyDescent="0.25">
      <c r="I1028" s="78"/>
    </row>
    <row r="1029" spans="9:9" x14ac:dyDescent="0.25">
      <c r="I1029" s="78"/>
    </row>
    <row r="1030" spans="9:9" x14ac:dyDescent="0.25">
      <c r="I1030" s="78"/>
    </row>
    <row r="1031" spans="9:9" x14ac:dyDescent="0.25">
      <c r="I1031" s="78"/>
    </row>
    <row r="1032" spans="9:9" x14ac:dyDescent="0.25">
      <c r="I1032" s="78"/>
    </row>
    <row r="1033" spans="9:9" x14ac:dyDescent="0.25">
      <c r="I1033" s="78"/>
    </row>
    <row r="1034" spans="9:9" x14ac:dyDescent="0.25">
      <c r="I1034" s="78"/>
    </row>
    <row r="1035" spans="9:9" x14ac:dyDescent="0.25">
      <c r="I1035" s="78"/>
    </row>
    <row r="1036" spans="9:9" x14ac:dyDescent="0.25">
      <c r="I1036" s="78"/>
    </row>
    <row r="1037" spans="9:9" x14ac:dyDescent="0.25">
      <c r="I1037" s="78"/>
    </row>
    <row r="1038" spans="9:9" x14ac:dyDescent="0.25">
      <c r="I1038" s="78"/>
    </row>
    <row r="1039" spans="9:9" x14ac:dyDescent="0.25">
      <c r="I1039" s="78"/>
    </row>
    <row r="1040" spans="9:9" x14ac:dyDescent="0.25">
      <c r="I1040" s="78"/>
    </row>
    <row r="1041" spans="9:9" x14ac:dyDescent="0.25">
      <c r="I1041" s="78"/>
    </row>
    <row r="1042" spans="9:9" x14ac:dyDescent="0.25">
      <c r="I1042" s="78"/>
    </row>
    <row r="1043" spans="9:9" x14ac:dyDescent="0.25">
      <c r="I1043" s="78"/>
    </row>
    <row r="1044" spans="9:9" x14ac:dyDescent="0.25">
      <c r="I1044" s="78"/>
    </row>
    <row r="1045" spans="9:9" x14ac:dyDescent="0.25">
      <c r="I1045" s="78"/>
    </row>
    <row r="1046" spans="9:9" x14ac:dyDescent="0.25">
      <c r="I1046" s="78"/>
    </row>
    <row r="1047" spans="9:9" x14ac:dyDescent="0.25">
      <c r="I1047" s="78"/>
    </row>
    <row r="1048" spans="9:9" x14ac:dyDescent="0.25">
      <c r="I1048" s="78"/>
    </row>
    <row r="1049" spans="9:9" x14ac:dyDescent="0.25">
      <c r="I1049" s="78"/>
    </row>
    <row r="1050" spans="9:9" x14ac:dyDescent="0.25">
      <c r="I1050" s="78"/>
    </row>
    <row r="1051" spans="9:9" x14ac:dyDescent="0.25">
      <c r="I1051" s="78"/>
    </row>
    <row r="1052" spans="9:9" x14ac:dyDescent="0.25">
      <c r="I1052" s="78"/>
    </row>
    <row r="1053" spans="9:9" x14ac:dyDescent="0.25">
      <c r="I1053" s="78"/>
    </row>
    <row r="1054" spans="9:9" x14ac:dyDescent="0.25">
      <c r="I1054" s="78"/>
    </row>
    <row r="1055" spans="9:9" x14ac:dyDescent="0.25">
      <c r="I1055" s="78"/>
    </row>
    <row r="1056" spans="9:9" x14ac:dyDescent="0.25">
      <c r="I1056" s="78"/>
    </row>
    <row r="1057" spans="9:9" x14ac:dyDescent="0.25">
      <c r="I1057" s="78"/>
    </row>
    <row r="1058" spans="9:9" x14ac:dyDescent="0.25">
      <c r="I1058" s="78"/>
    </row>
    <row r="1059" spans="9:9" x14ac:dyDescent="0.25">
      <c r="I1059" s="78"/>
    </row>
    <row r="1060" spans="9:9" x14ac:dyDescent="0.25">
      <c r="I1060" s="78"/>
    </row>
    <row r="1061" spans="9:9" x14ac:dyDescent="0.25">
      <c r="I1061" s="78"/>
    </row>
    <row r="1062" spans="9:9" x14ac:dyDescent="0.25">
      <c r="I1062" s="78"/>
    </row>
    <row r="1063" spans="9:9" x14ac:dyDescent="0.25">
      <c r="I1063" s="78"/>
    </row>
    <row r="1064" spans="9:9" x14ac:dyDescent="0.25">
      <c r="I1064" s="78"/>
    </row>
    <row r="1065" spans="9:9" x14ac:dyDescent="0.25">
      <c r="I1065" s="78"/>
    </row>
    <row r="1066" spans="9:9" x14ac:dyDescent="0.25">
      <c r="I1066" s="78"/>
    </row>
    <row r="1067" spans="9:9" x14ac:dyDescent="0.25">
      <c r="I1067" s="78"/>
    </row>
    <row r="1068" spans="9:9" x14ac:dyDescent="0.25">
      <c r="I1068" s="78"/>
    </row>
    <row r="1069" spans="9:9" x14ac:dyDescent="0.25">
      <c r="I1069" s="78"/>
    </row>
    <row r="1070" spans="9:9" x14ac:dyDescent="0.25">
      <c r="I1070" s="78"/>
    </row>
    <row r="1071" spans="9:9" x14ac:dyDescent="0.25">
      <c r="I1071" s="78"/>
    </row>
    <row r="1072" spans="9:9" x14ac:dyDescent="0.25">
      <c r="I1072" s="78"/>
    </row>
    <row r="1073" spans="9:9" x14ac:dyDescent="0.25">
      <c r="I1073" s="78"/>
    </row>
    <row r="1074" spans="9:9" x14ac:dyDescent="0.25">
      <c r="I1074" s="78"/>
    </row>
    <row r="1075" spans="9:9" x14ac:dyDescent="0.25">
      <c r="I1075" s="78"/>
    </row>
    <row r="1076" spans="9:9" x14ac:dyDescent="0.25">
      <c r="I1076" s="78"/>
    </row>
    <row r="1077" spans="9:9" x14ac:dyDescent="0.25">
      <c r="I1077" s="78"/>
    </row>
    <row r="1078" spans="9:9" x14ac:dyDescent="0.25">
      <c r="I1078" s="78"/>
    </row>
    <row r="1079" spans="9:9" x14ac:dyDescent="0.25">
      <c r="I1079" s="78"/>
    </row>
    <row r="1080" spans="9:9" x14ac:dyDescent="0.25">
      <c r="I1080" s="78"/>
    </row>
    <row r="1081" spans="9:9" x14ac:dyDescent="0.25">
      <c r="I1081" s="78"/>
    </row>
    <row r="1082" spans="9:9" x14ac:dyDescent="0.25">
      <c r="I1082" s="78"/>
    </row>
    <row r="1083" spans="9:9" x14ac:dyDescent="0.25">
      <c r="I1083" s="78"/>
    </row>
    <row r="1084" spans="9:9" x14ac:dyDescent="0.25">
      <c r="I1084" s="78"/>
    </row>
    <row r="1085" spans="9:9" x14ac:dyDescent="0.25">
      <c r="I1085" s="78"/>
    </row>
    <row r="1086" spans="9:9" x14ac:dyDescent="0.25">
      <c r="I1086" s="78"/>
    </row>
    <row r="1087" spans="9:9" x14ac:dyDescent="0.25">
      <c r="I1087" s="78"/>
    </row>
    <row r="1088" spans="9:9" x14ac:dyDescent="0.25">
      <c r="I1088" s="78"/>
    </row>
    <row r="1089" spans="9:9" x14ac:dyDescent="0.25">
      <c r="I1089" s="78"/>
    </row>
    <row r="1090" spans="9:9" x14ac:dyDescent="0.25">
      <c r="I1090" s="78"/>
    </row>
    <row r="1091" spans="9:9" x14ac:dyDescent="0.25">
      <c r="I1091" s="78"/>
    </row>
    <row r="1092" spans="9:9" x14ac:dyDescent="0.25">
      <c r="I1092" s="78"/>
    </row>
    <row r="1093" spans="9:9" x14ac:dyDescent="0.25">
      <c r="I1093" s="78"/>
    </row>
    <row r="1094" spans="9:9" x14ac:dyDescent="0.25">
      <c r="I1094" s="78"/>
    </row>
    <row r="1095" spans="9:9" x14ac:dyDescent="0.25">
      <c r="I1095" s="78"/>
    </row>
    <row r="1096" spans="9:9" x14ac:dyDescent="0.25">
      <c r="I1096" s="78"/>
    </row>
    <row r="1097" spans="9:9" x14ac:dyDescent="0.25">
      <c r="I1097" s="78"/>
    </row>
    <row r="1098" spans="9:9" x14ac:dyDescent="0.25">
      <c r="I1098" s="78"/>
    </row>
    <row r="1099" spans="9:9" x14ac:dyDescent="0.25">
      <c r="I1099" s="78"/>
    </row>
    <row r="1100" spans="9:9" x14ac:dyDescent="0.25">
      <c r="I1100" s="78"/>
    </row>
    <row r="1101" spans="9:9" x14ac:dyDescent="0.25">
      <c r="I1101" s="78"/>
    </row>
    <row r="1102" spans="9:9" x14ac:dyDescent="0.25">
      <c r="I1102" s="78"/>
    </row>
    <row r="1103" spans="9:9" x14ac:dyDescent="0.25">
      <c r="I1103" s="78"/>
    </row>
    <row r="1104" spans="9:9" x14ac:dyDescent="0.25">
      <c r="I1104" s="78"/>
    </row>
    <row r="1105" spans="9:9" x14ac:dyDescent="0.25">
      <c r="I1105" s="78"/>
    </row>
    <row r="1106" spans="9:9" x14ac:dyDescent="0.25">
      <c r="I1106" s="78"/>
    </row>
    <row r="1107" spans="9:9" x14ac:dyDescent="0.25">
      <c r="I1107" s="78"/>
    </row>
    <row r="1108" spans="9:9" x14ac:dyDescent="0.25">
      <c r="I1108" s="78"/>
    </row>
    <row r="1109" spans="9:9" x14ac:dyDescent="0.25">
      <c r="I1109" s="78"/>
    </row>
    <row r="1110" spans="9:9" x14ac:dyDescent="0.25">
      <c r="I1110" s="78"/>
    </row>
    <row r="1111" spans="9:9" x14ac:dyDescent="0.25">
      <c r="I1111" s="78"/>
    </row>
    <row r="1112" spans="9:9" x14ac:dyDescent="0.25">
      <c r="I1112" s="78"/>
    </row>
    <row r="1113" spans="9:9" x14ac:dyDescent="0.25">
      <c r="I1113" s="78"/>
    </row>
    <row r="1114" spans="9:9" x14ac:dyDescent="0.25">
      <c r="I1114" s="78"/>
    </row>
    <row r="1115" spans="9:9" x14ac:dyDescent="0.25">
      <c r="I1115" s="78"/>
    </row>
    <row r="1116" spans="9:9" x14ac:dyDescent="0.25">
      <c r="I1116" s="78"/>
    </row>
    <row r="1117" spans="9:9" x14ac:dyDescent="0.25">
      <c r="I1117" s="78"/>
    </row>
    <row r="1118" spans="9:9" x14ac:dyDescent="0.25">
      <c r="I1118" s="78"/>
    </row>
    <row r="1119" spans="9:9" x14ac:dyDescent="0.25">
      <c r="I1119" s="78"/>
    </row>
    <row r="1120" spans="9:9" x14ac:dyDescent="0.25">
      <c r="I1120" s="78"/>
    </row>
    <row r="1121" spans="9:9" x14ac:dyDescent="0.25">
      <c r="I1121" s="78"/>
    </row>
    <row r="1122" spans="9:9" x14ac:dyDescent="0.25">
      <c r="I1122" s="78"/>
    </row>
    <row r="1123" spans="9:9" x14ac:dyDescent="0.25">
      <c r="I1123" s="78"/>
    </row>
    <row r="1124" spans="9:9" x14ac:dyDescent="0.25">
      <c r="I1124" s="78"/>
    </row>
    <row r="1125" spans="9:9" x14ac:dyDescent="0.25">
      <c r="I1125" s="78"/>
    </row>
    <row r="1126" spans="9:9" x14ac:dyDescent="0.25">
      <c r="I1126" s="78"/>
    </row>
    <row r="1127" spans="9:9" x14ac:dyDescent="0.25">
      <c r="I1127" s="78"/>
    </row>
    <row r="1128" spans="9:9" x14ac:dyDescent="0.25">
      <c r="I1128" s="78"/>
    </row>
    <row r="1129" spans="9:9" x14ac:dyDescent="0.25">
      <c r="I1129" s="78"/>
    </row>
    <row r="1130" spans="9:9" x14ac:dyDescent="0.25">
      <c r="I1130" s="78"/>
    </row>
    <row r="1131" spans="9:9" x14ac:dyDescent="0.25">
      <c r="I1131" s="78"/>
    </row>
    <row r="1132" spans="9:9" x14ac:dyDescent="0.25">
      <c r="I1132" s="78"/>
    </row>
    <row r="1133" spans="9:9" x14ac:dyDescent="0.25">
      <c r="I1133" s="78"/>
    </row>
    <row r="1134" spans="9:9" x14ac:dyDescent="0.25">
      <c r="I1134" s="78"/>
    </row>
    <row r="1135" spans="9:9" x14ac:dyDescent="0.25">
      <c r="I1135" s="78"/>
    </row>
    <row r="1136" spans="9:9" x14ac:dyDescent="0.25">
      <c r="I1136" s="78"/>
    </row>
    <row r="1137" spans="9:9" x14ac:dyDescent="0.25">
      <c r="I1137" s="78"/>
    </row>
    <row r="1138" spans="9:9" x14ac:dyDescent="0.25">
      <c r="I1138" s="78"/>
    </row>
    <row r="1139" spans="9:9" x14ac:dyDescent="0.25">
      <c r="I1139" s="78"/>
    </row>
    <row r="1140" spans="9:9" x14ac:dyDescent="0.25">
      <c r="I1140" s="78"/>
    </row>
    <row r="1141" spans="9:9" x14ac:dyDescent="0.25">
      <c r="I1141" s="78"/>
    </row>
    <row r="1142" spans="9:9" x14ac:dyDescent="0.25">
      <c r="I1142" s="78"/>
    </row>
    <row r="1143" spans="9:9" x14ac:dyDescent="0.25">
      <c r="I1143" s="78"/>
    </row>
    <row r="1144" spans="9:9" x14ac:dyDescent="0.25">
      <c r="I1144" s="78"/>
    </row>
    <row r="1145" spans="9:9" x14ac:dyDescent="0.25">
      <c r="I1145" s="78"/>
    </row>
    <row r="1146" spans="9:9" x14ac:dyDescent="0.25">
      <c r="I1146" s="78"/>
    </row>
    <row r="1147" spans="9:9" x14ac:dyDescent="0.25">
      <c r="I1147" s="78"/>
    </row>
    <row r="1148" spans="9:9" x14ac:dyDescent="0.25">
      <c r="I1148" s="78"/>
    </row>
    <row r="1149" spans="9:9" x14ac:dyDescent="0.25">
      <c r="I1149" s="78"/>
    </row>
    <row r="1150" spans="9:9" x14ac:dyDescent="0.25">
      <c r="I1150" s="78"/>
    </row>
    <row r="1151" spans="9:9" x14ac:dyDescent="0.25">
      <c r="I1151" s="78"/>
    </row>
    <row r="1152" spans="9:9" x14ac:dyDescent="0.25">
      <c r="I1152" s="78"/>
    </row>
    <row r="1153" spans="9:9" x14ac:dyDescent="0.25">
      <c r="I1153" s="78"/>
    </row>
    <row r="1154" spans="9:9" x14ac:dyDescent="0.25">
      <c r="I1154" s="78"/>
    </row>
    <row r="1155" spans="9:9" x14ac:dyDescent="0.25">
      <c r="I1155" s="78"/>
    </row>
    <row r="1156" spans="9:9" x14ac:dyDescent="0.25">
      <c r="I1156" s="78"/>
    </row>
    <row r="1157" spans="9:9" x14ac:dyDescent="0.25">
      <c r="I1157" s="78"/>
    </row>
    <row r="1158" spans="9:9" x14ac:dyDescent="0.25">
      <c r="I1158" s="78"/>
    </row>
    <row r="1159" spans="9:9" x14ac:dyDescent="0.25">
      <c r="I1159" s="78"/>
    </row>
    <row r="1160" spans="9:9" x14ac:dyDescent="0.25">
      <c r="I1160" s="78"/>
    </row>
    <row r="1161" spans="9:9" x14ac:dyDescent="0.25">
      <c r="I1161" s="78"/>
    </row>
    <row r="1162" spans="9:9" x14ac:dyDescent="0.25">
      <c r="I1162" s="78"/>
    </row>
    <row r="1163" spans="9:9" x14ac:dyDescent="0.25">
      <c r="I1163" s="78"/>
    </row>
    <row r="1164" spans="9:9" x14ac:dyDescent="0.25">
      <c r="I1164" s="78"/>
    </row>
    <row r="1165" spans="9:9" x14ac:dyDescent="0.25">
      <c r="I1165" s="78"/>
    </row>
    <row r="1166" spans="9:9" x14ac:dyDescent="0.25">
      <c r="I1166" s="78"/>
    </row>
    <row r="1167" spans="9:9" x14ac:dyDescent="0.25">
      <c r="I1167" s="78"/>
    </row>
    <row r="1168" spans="9:9" x14ac:dyDescent="0.25">
      <c r="I1168" s="78"/>
    </row>
    <row r="1169" spans="9:9" x14ac:dyDescent="0.25">
      <c r="I1169" s="78"/>
    </row>
    <row r="1170" spans="9:9" x14ac:dyDescent="0.25">
      <c r="I1170" s="78"/>
    </row>
    <row r="1171" spans="9:9" x14ac:dyDescent="0.25">
      <c r="I1171" s="78"/>
    </row>
    <row r="1172" spans="9:9" x14ac:dyDescent="0.25">
      <c r="I1172" s="78"/>
    </row>
    <row r="1173" spans="9:9" x14ac:dyDescent="0.25">
      <c r="I1173" s="78"/>
    </row>
    <row r="1174" spans="9:9" x14ac:dyDescent="0.25">
      <c r="I1174" s="78"/>
    </row>
    <row r="1175" spans="9:9" x14ac:dyDescent="0.25">
      <c r="I1175" s="78"/>
    </row>
    <row r="1176" spans="9:9" x14ac:dyDescent="0.25">
      <c r="I1176" s="78"/>
    </row>
    <row r="1177" spans="9:9" x14ac:dyDescent="0.25">
      <c r="I1177" s="78"/>
    </row>
    <row r="1178" spans="9:9" x14ac:dyDescent="0.25">
      <c r="I1178" s="78"/>
    </row>
    <row r="1179" spans="9:9" x14ac:dyDescent="0.25">
      <c r="I1179" s="78"/>
    </row>
    <row r="1180" spans="9:9" x14ac:dyDescent="0.25">
      <c r="I1180" s="78"/>
    </row>
    <row r="1181" spans="9:9" x14ac:dyDescent="0.25">
      <c r="I1181" s="78"/>
    </row>
    <row r="1182" spans="9:9" x14ac:dyDescent="0.25">
      <c r="I1182" s="78"/>
    </row>
    <row r="1183" spans="9:9" x14ac:dyDescent="0.25">
      <c r="I1183" s="78"/>
    </row>
    <row r="1184" spans="9:9" x14ac:dyDescent="0.25">
      <c r="I1184" s="78"/>
    </row>
    <row r="1185" spans="9:9" x14ac:dyDescent="0.25">
      <c r="I1185" s="78"/>
    </row>
    <row r="1186" spans="9:9" x14ac:dyDescent="0.25">
      <c r="I1186" s="78"/>
    </row>
    <row r="1187" spans="9:9" x14ac:dyDescent="0.25">
      <c r="I1187" s="78"/>
    </row>
    <row r="1188" spans="9:9" x14ac:dyDescent="0.25">
      <c r="I1188" s="78"/>
    </row>
    <row r="1189" spans="9:9" x14ac:dyDescent="0.25">
      <c r="I1189" s="78"/>
    </row>
    <row r="1190" spans="9:9" x14ac:dyDescent="0.25">
      <c r="I1190" s="78"/>
    </row>
    <row r="1191" spans="9:9" x14ac:dyDescent="0.25">
      <c r="I1191" s="78"/>
    </row>
    <row r="1192" spans="9:9" x14ac:dyDescent="0.25">
      <c r="I1192" s="78"/>
    </row>
    <row r="1193" spans="9:9" x14ac:dyDescent="0.25">
      <c r="I1193" s="78"/>
    </row>
    <row r="1194" spans="9:9" x14ac:dyDescent="0.25">
      <c r="I1194" s="78"/>
    </row>
    <row r="1195" spans="9:9" x14ac:dyDescent="0.25">
      <c r="I1195" s="78"/>
    </row>
    <row r="1196" spans="9:9" x14ac:dyDescent="0.25">
      <c r="I1196" s="78"/>
    </row>
    <row r="1197" spans="9:9" x14ac:dyDescent="0.25">
      <c r="I1197" s="78"/>
    </row>
    <row r="1198" spans="9:9" x14ac:dyDescent="0.25">
      <c r="I1198" s="78"/>
    </row>
    <row r="1199" spans="9:9" x14ac:dyDescent="0.25">
      <c r="I1199" s="78"/>
    </row>
    <row r="1200" spans="9:9" x14ac:dyDescent="0.25">
      <c r="I1200" s="78"/>
    </row>
    <row r="1201" spans="9:9" x14ac:dyDescent="0.25">
      <c r="I1201" s="78"/>
    </row>
    <row r="1202" spans="9:9" x14ac:dyDescent="0.25">
      <c r="I1202" s="78"/>
    </row>
    <row r="1203" spans="9:9" x14ac:dyDescent="0.25">
      <c r="I1203" s="78"/>
    </row>
    <row r="1204" spans="9:9" x14ac:dyDescent="0.25">
      <c r="I1204" s="78"/>
    </row>
    <row r="1205" spans="9:9" x14ac:dyDescent="0.25">
      <c r="I1205" s="78"/>
    </row>
    <row r="1206" spans="9:9" x14ac:dyDescent="0.25">
      <c r="I1206" s="78"/>
    </row>
    <row r="1207" spans="9:9" x14ac:dyDescent="0.25">
      <c r="I1207" s="78"/>
    </row>
    <row r="1208" spans="9:9" x14ac:dyDescent="0.25">
      <c r="I1208" s="78"/>
    </row>
    <row r="1209" spans="9:9" x14ac:dyDescent="0.25">
      <c r="I1209" s="78"/>
    </row>
    <row r="1210" spans="9:9" x14ac:dyDescent="0.25">
      <c r="I1210" s="78"/>
    </row>
    <row r="1211" spans="9:9" x14ac:dyDescent="0.25">
      <c r="I1211" s="78"/>
    </row>
    <row r="1212" spans="9:9" x14ac:dyDescent="0.25">
      <c r="I1212" s="78"/>
    </row>
    <row r="1213" spans="9:9" x14ac:dyDescent="0.25">
      <c r="I1213" s="78"/>
    </row>
    <row r="1214" spans="9:9" x14ac:dyDescent="0.25">
      <c r="I1214" s="78"/>
    </row>
    <row r="1215" spans="9:9" x14ac:dyDescent="0.25">
      <c r="I1215" s="78"/>
    </row>
    <row r="1216" spans="9:9" x14ac:dyDescent="0.25">
      <c r="I1216" s="78"/>
    </row>
    <row r="1217" spans="9:9" x14ac:dyDescent="0.25">
      <c r="I1217" s="78"/>
    </row>
    <row r="1218" spans="9:9" x14ac:dyDescent="0.25">
      <c r="I1218" s="78"/>
    </row>
    <row r="1219" spans="9:9" x14ac:dyDescent="0.25">
      <c r="I1219" s="78"/>
    </row>
    <row r="1220" spans="9:9" x14ac:dyDescent="0.25">
      <c r="I1220" s="78"/>
    </row>
    <row r="1221" spans="9:9" x14ac:dyDescent="0.25">
      <c r="I1221" s="78"/>
    </row>
    <row r="1222" spans="9:9" x14ac:dyDescent="0.25">
      <c r="I1222" s="78"/>
    </row>
    <row r="1223" spans="9:9" x14ac:dyDescent="0.25">
      <c r="I1223" s="78"/>
    </row>
    <row r="1224" spans="9:9" x14ac:dyDescent="0.25">
      <c r="I1224" s="78"/>
    </row>
    <row r="1225" spans="9:9" x14ac:dyDescent="0.25">
      <c r="I1225" s="78"/>
    </row>
    <row r="1226" spans="9:9" x14ac:dyDescent="0.25">
      <c r="I1226" s="78"/>
    </row>
    <row r="1227" spans="9:9" x14ac:dyDescent="0.25">
      <c r="I1227" s="78"/>
    </row>
    <row r="1228" spans="9:9" x14ac:dyDescent="0.25">
      <c r="I1228" s="78"/>
    </row>
    <row r="1229" spans="9:9" x14ac:dyDescent="0.25">
      <c r="I1229" s="78"/>
    </row>
    <row r="1230" spans="9:9" x14ac:dyDescent="0.25">
      <c r="I1230" s="78"/>
    </row>
    <row r="1231" spans="9:9" x14ac:dyDescent="0.25">
      <c r="I1231" s="78"/>
    </row>
    <row r="1232" spans="9:9" x14ac:dyDescent="0.25">
      <c r="I1232" s="78"/>
    </row>
    <row r="1233" spans="9:9" x14ac:dyDescent="0.25">
      <c r="I1233" s="78"/>
    </row>
    <row r="1234" spans="9:9" x14ac:dyDescent="0.25">
      <c r="I1234" s="78"/>
    </row>
    <row r="1235" spans="9:9" x14ac:dyDescent="0.25">
      <c r="I1235" s="78"/>
    </row>
    <row r="1236" spans="9:9" x14ac:dyDescent="0.25">
      <c r="I1236" s="78"/>
    </row>
    <row r="1237" spans="9:9" x14ac:dyDescent="0.25">
      <c r="I1237" s="78"/>
    </row>
    <row r="1238" spans="9:9" x14ac:dyDescent="0.25">
      <c r="I1238" s="78"/>
    </row>
    <row r="1239" spans="9:9" x14ac:dyDescent="0.25">
      <c r="I1239" s="78"/>
    </row>
    <row r="1240" spans="9:9" x14ac:dyDescent="0.25">
      <c r="I1240" s="78"/>
    </row>
    <row r="1241" spans="9:9" x14ac:dyDescent="0.25">
      <c r="I1241" s="78"/>
    </row>
    <row r="1242" spans="9:9" x14ac:dyDescent="0.25">
      <c r="I1242" s="78"/>
    </row>
    <row r="1243" spans="9:9" x14ac:dyDescent="0.25">
      <c r="I1243" s="78"/>
    </row>
    <row r="1244" spans="9:9" x14ac:dyDescent="0.25">
      <c r="I1244" s="78"/>
    </row>
    <row r="1245" spans="9:9" x14ac:dyDescent="0.25">
      <c r="I1245" s="78"/>
    </row>
    <row r="1246" spans="9:9" x14ac:dyDescent="0.25">
      <c r="I1246" s="78"/>
    </row>
    <row r="1247" spans="9:9" x14ac:dyDescent="0.25">
      <c r="I1247" s="78"/>
    </row>
    <row r="1248" spans="9:9" x14ac:dyDescent="0.25">
      <c r="I1248" s="78"/>
    </row>
    <row r="1249" spans="9:9" x14ac:dyDescent="0.25">
      <c r="I1249" s="78"/>
    </row>
    <row r="1250" spans="9:9" x14ac:dyDescent="0.25">
      <c r="I1250" s="78"/>
    </row>
    <row r="1251" spans="9:9" x14ac:dyDescent="0.25">
      <c r="I1251" s="78"/>
    </row>
    <row r="1252" spans="9:9" x14ac:dyDescent="0.25">
      <c r="I1252" s="78"/>
    </row>
    <row r="1253" spans="9:9" x14ac:dyDescent="0.25">
      <c r="I1253" s="78"/>
    </row>
    <row r="1254" spans="9:9" x14ac:dyDescent="0.25">
      <c r="I1254" s="78"/>
    </row>
    <row r="1255" spans="9:9" x14ac:dyDescent="0.25">
      <c r="I1255" s="78"/>
    </row>
    <row r="1256" spans="9:9" x14ac:dyDescent="0.25">
      <c r="I1256" s="78"/>
    </row>
    <row r="1257" spans="9:9" x14ac:dyDescent="0.25">
      <c r="I1257" s="78"/>
    </row>
    <row r="1258" spans="9:9" x14ac:dyDescent="0.25">
      <c r="I1258" s="78"/>
    </row>
    <row r="1259" spans="9:9" x14ac:dyDescent="0.25">
      <c r="I1259" s="78"/>
    </row>
    <row r="1260" spans="9:9" x14ac:dyDescent="0.25">
      <c r="I1260" s="78"/>
    </row>
    <row r="1261" spans="9:9" x14ac:dyDescent="0.25">
      <c r="I1261" s="78"/>
    </row>
    <row r="1262" spans="9:9" x14ac:dyDescent="0.25">
      <c r="I1262" s="78"/>
    </row>
    <row r="1263" spans="9:9" x14ac:dyDescent="0.25">
      <c r="I1263" s="78"/>
    </row>
    <row r="1264" spans="9:9" x14ac:dyDescent="0.25">
      <c r="I1264" s="78"/>
    </row>
    <row r="1265" spans="9:9" x14ac:dyDescent="0.25">
      <c r="I1265" s="78"/>
    </row>
    <row r="1266" spans="9:9" x14ac:dyDescent="0.25">
      <c r="I1266" s="78"/>
    </row>
    <row r="1267" spans="9:9" x14ac:dyDescent="0.25">
      <c r="I1267" s="78"/>
    </row>
    <row r="1268" spans="9:9" x14ac:dyDescent="0.25">
      <c r="I1268" s="78"/>
    </row>
    <row r="1269" spans="9:9" x14ac:dyDescent="0.25">
      <c r="I1269" s="78"/>
    </row>
    <row r="1270" spans="9:9" x14ac:dyDescent="0.25">
      <c r="I1270" s="78"/>
    </row>
    <row r="1271" spans="9:9" x14ac:dyDescent="0.25">
      <c r="I1271" s="78"/>
    </row>
    <row r="1272" spans="9:9" x14ac:dyDescent="0.25">
      <c r="I1272" s="78"/>
    </row>
    <row r="1273" spans="9:9" x14ac:dyDescent="0.25">
      <c r="I1273" s="78"/>
    </row>
    <row r="1274" spans="9:9" x14ac:dyDescent="0.25">
      <c r="I1274" s="78"/>
    </row>
    <row r="1275" spans="9:9" x14ac:dyDescent="0.25">
      <c r="I1275" s="78"/>
    </row>
    <row r="1276" spans="9:9" x14ac:dyDescent="0.25">
      <c r="I1276" s="78"/>
    </row>
    <row r="1277" spans="9:9" x14ac:dyDescent="0.25">
      <c r="I1277" s="78"/>
    </row>
    <row r="1278" spans="9:9" x14ac:dyDescent="0.25">
      <c r="I1278" s="78"/>
    </row>
    <row r="1279" spans="9:9" x14ac:dyDescent="0.25">
      <c r="I1279" s="78"/>
    </row>
    <row r="1280" spans="9:9" x14ac:dyDescent="0.25">
      <c r="I1280" s="78"/>
    </row>
    <row r="1281" spans="9:9" x14ac:dyDescent="0.25">
      <c r="I1281" s="78"/>
    </row>
    <row r="1282" spans="9:9" x14ac:dyDescent="0.25">
      <c r="I1282" s="78"/>
    </row>
    <row r="1283" spans="9:9" x14ac:dyDescent="0.25">
      <c r="I1283" s="78"/>
    </row>
    <row r="1284" spans="9:9" x14ac:dyDescent="0.25">
      <c r="I1284" s="78"/>
    </row>
    <row r="1285" spans="9:9" x14ac:dyDescent="0.25">
      <c r="I1285" s="78"/>
    </row>
    <row r="1286" spans="9:9" x14ac:dyDescent="0.25">
      <c r="I1286" s="78"/>
    </row>
    <row r="1287" spans="9:9" x14ac:dyDescent="0.25">
      <c r="I1287" s="78"/>
    </row>
    <row r="1288" spans="9:9" x14ac:dyDescent="0.25">
      <c r="I1288" s="78"/>
    </row>
    <row r="1289" spans="9:9" x14ac:dyDescent="0.25">
      <c r="I1289" s="78"/>
    </row>
    <row r="1290" spans="9:9" x14ac:dyDescent="0.25">
      <c r="I1290" s="78"/>
    </row>
    <row r="1291" spans="9:9" x14ac:dyDescent="0.25">
      <c r="I1291" s="78"/>
    </row>
    <row r="1292" spans="9:9" x14ac:dyDescent="0.25">
      <c r="I1292" s="78"/>
    </row>
    <row r="1293" spans="9:9" x14ac:dyDescent="0.25">
      <c r="I1293" s="78"/>
    </row>
    <row r="1294" spans="9:9" x14ac:dyDescent="0.25">
      <c r="I1294" s="78"/>
    </row>
    <row r="1295" spans="9:9" x14ac:dyDescent="0.25">
      <c r="I1295" s="78"/>
    </row>
    <row r="1296" spans="9:9" x14ac:dyDescent="0.25">
      <c r="I1296" s="78"/>
    </row>
    <row r="1297" spans="9:9" x14ac:dyDescent="0.25">
      <c r="I1297" s="78"/>
    </row>
    <row r="1298" spans="9:9" x14ac:dyDescent="0.25">
      <c r="I1298" s="78"/>
    </row>
    <row r="1299" spans="9:9" x14ac:dyDescent="0.25">
      <c r="I1299" s="78"/>
    </row>
    <row r="1300" spans="9:9" x14ac:dyDescent="0.25">
      <c r="I1300" s="78"/>
    </row>
    <row r="1301" spans="9:9" x14ac:dyDescent="0.25">
      <c r="I1301" s="78"/>
    </row>
    <row r="1302" spans="9:9" x14ac:dyDescent="0.25">
      <c r="I1302" s="78"/>
    </row>
    <row r="1303" spans="9:9" x14ac:dyDescent="0.25">
      <c r="I1303" s="78"/>
    </row>
    <row r="1304" spans="9:9" x14ac:dyDescent="0.25">
      <c r="I1304" s="78"/>
    </row>
    <row r="1305" spans="9:9" x14ac:dyDescent="0.25">
      <c r="I1305" s="78"/>
    </row>
    <row r="1306" spans="9:9" x14ac:dyDescent="0.25">
      <c r="I1306" s="78"/>
    </row>
    <row r="1307" spans="9:9" x14ac:dyDescent="0.25">
      <c r="I1307" s="78"/>
    </row>
    <row r="1308" spans="9:9" x14ac:dyDescent="0.25">
      <c r="I1308" s="78"/>
    </row>
    <row r="1309" spans="9:9" x14ac:dyDescent="0.25">
      <c r="I1309" s="78"/>
    </row>
    <row r="1310" spans="9:9" x14ac:dyDescent="0.25">
      <c r="I1310" s="78"/>
    </row>
    <row r="1311" spans="9:9" x14ac:dyDescent="0.25">
      <c r="I1311" s="78"/>
    </row>
    <row r="1312" spans="9:9" x14ac:dyDescent="0.25">
      <c r="I1312" s="78"/>
    </row>
    <row r="1313" spans="9:9" x14ac:dyDescent="0.25">
      <c r="I1313" s="78"/>
    </row>
    <row r="1314" spans="9:9" x14ac:dyDescent="0.25">
      <c r="I1314" s="78"/>
    </row>
    <row r="1315" spans="9:9" x14ac:dyDescent="0.25">
      <c r="I1315" s="78"/>
    </row>
    <row r="1316" spans="9:9" x14ac:dyDescent="0.25">
      <c r="I1316" s="78"/>
    </row>
    <row r="1317" spans="9:9" x14ac:dyDescent="0.25">
      <c r="I1317" s="78"/>
    </row>
    <row r="1318" spans="9:9" x14ac:dyDescent="0.25">
      <c r="I1318" s="78"/>
    </row>
    <row r="1319" spans="9:9" x14ac:dyDescent="0.25">
      <c r="I1319" s="78"/>
    </row>
    <row r="1320" spans="9:9" x14ac:dyDescent="0.25">
      <c r="I1320" s="78"/>
    </row>
    <row r="1321" spans="9:9" x14ac:dyDescent="0.25">
      <c r="I1321" s="78"/>
    </row>
    <row r="1322" spans="9:9" x14ac:dyDescent="0.25">
      <c r="I1322" s="78"/>
    </row>
    <row r="1323" spans="9:9" x14ac:dyDescent="0.25">
      <c r="I1323" s="78"/>
    </row>
    <row r="1324" spans="9:9" x14ac:dyDescent="0.25">
      <c r="I1324" s="78"/>
    </row>
    <row r="1325" spans="9:9" x14ac:dyDescent="0.25">
      <c r="I1325" s="78"/>
    </row>
    <row r="1326" spans="9:9" x14ac:dyDescent="0.25">
      <c r="I1326" s="78"/>
    </row>
    <row r="1327" spans="9:9" x14ac:dyDescent="0.25">
      <c r="I1327" s="78"/>
    </row>
    <row r="1328" spans="9:9" x14ac:dyDescent="0.25">
      <c r="I1328" s="78"/>
    </row>
    <row r="1329" spans="9:9" x14ac:dyDescent="0.25">
      <c r="I1329" s="78"/>
    </row>
    <row r="1330" spans="9:9" x14ac:dyDescent="0.25">
      <c r="I1330" s="78"/>
    </row>
    <row r="1331" spans="9:9" x14ac:dyDescent="0.25">
      <c r="I1331" s="78"/>
    </row>
    <row r="1332" spans="9:9" x14ac:dyDescent="0.25">
      <c r="I1332" s="78"/>
    </row>
    <row r="1333" spans="9:9" x14ac:dyDescent="0.25">
      <c r="I1333" s="78"/>
    </row>
    <row r="1334" spans="9:9" x14ac:dyDescent="0.25">
      <c r="I1334" s="78"/>
    </row>
    <row r="1335" spans="9:9" x14ac:dyDescent="0.25">
      <c r="I1335" s="78"/>
    </row>
    <row r="1336" spans="9:9" x14ac:dyDescent="0.25">
      <c r="I1336" s="78"/>
    </row>
    <row r="1337" spans="9:9" x14ac:dyDescent="0.25">
      <c r="I1337" s="78"/>
    </row>
    <row r="1338" spans="9:9" x14ac:dyDescent="0.25">
      <c r="I1338" s="78"/>
    </row>
    <row r="1339" spans="9:9" x14ac:dyDescent="0.25">
      <c r="I1339" s="78"/>
    </row>
    <row r="1340" spans="9:9" x14ac:dyDescent="0.25">
      <c r="I1340" s="78"/>
    </row>
    <row r="1341" spans="9:9" x14ac:dyDescent="0.25">
      <c r="I1341" s="78"/>
    </row>
    <row r="1342" spans="9:9" x14ac:dyDescent="0.25">
      <c r="I1342" s="78"/>
    </row>
    <row r="1343" spans="9:9" x14ac:dyDescent="0.25">
      <c r="I1343" s="78"/>
    </row>
    <row r="1344" spans="9:9" x14ac:dyDescent="0.25">
      <c r="I1344" s="78"/>
    </row>
    <row r="1345" spans="9:9" x14ac:dyDescent="0.25">
      <c r="I1345" s="78"/>
    </row>
    <row r="1346" spans="9:9" x14ac:dyDescent="0.25">
      <c r="I1346" s="78"/>
    </row>
    <row r="1347" spans="9:9" x14ac:dyDescent="0.25">
      <c r="I1347" s="78"/>
    </row>
    <row r="1348" spans="9:9" x14ac:dyDescent="0.25">
      <c r="I1348" s="78"/>
    </row>
    <row r="1349" spans="9:9" x14ac:dyDescent="0.25">
      <c r="I1349" s="78"/>
    </row>
    <row r="1350" spans="9:9" x14ac:dyDescent="0.25">
      <c r="I1350" s="78"/>
    </row>
    <row r="1351" spans="9:9" x14ac:dyDescent="0.25">
      <c r="I1351" s="78"/>
    </row>
    <row r="1352" spans="9:9" x14ac:dyDescent="0.25">
      <c r="I1352" s="78"/>
    </row>
    <row r="1353" spans="9:9" x14ac:dyDescent="0.25">
      <c r="I1353" s="78"/>
    </row>
    <row r="1354" spans="9:9" x14ac:dyDescent="0.25">
      <c r="I1354" s="78"/>
    </row>
    <row r="1355" spans="9:9" x14ac:dyDescent="0.25">
      <c r="I1355" s="78"/>
    </row>
    <row r="1356" spans="9:9" x14ac:dyDescent="0.25">
      <c r="I1356" s="78"/>
    </row>
    <row r="1357" spans="9:9" x14ac:dyDescent="0.25">
      <c r="I1357" s="78"/>
    </row>
    <row r="1358" spans="9:9" x14ac:dyDescent="0.25">
      <c r="I1358" s="78"/>
    </row>
    <row r="1359" spans="9:9" x14ac:dyDescent="0.25">
      <c r="I1359" s="78"/>
    </row>
    <row r="1360" spans="9:9" x14ac:dyDescent="0.25">
      <c r="I1360" s="78"/>
    </row>
    <row r="1361" spans="9:9" x14ac:dyDescent="0.25">
      <c r="I1361" s="78"/>
    </row>
    <row r="1362" spans="9:9" x14ac:dyDescent="0.25">
      <c r="I1362" s="78"/>
    </row>
    <row r="1363" spans="9:9" x14ac:dyDescent="0.25">
      <c r="I1363" s="78"/>
    </row>
    <row r="1364" spans="9:9" x14ac:dyDescent="0.25">
      <c r="I1364" s="78"/>
    </row>
    <row r="1365" spans="9:9" x14ac:dyDescent="0.25">
      <c r="I1365" s="78"/>
    </row>
    <row r="1366" spans="9:9" x14ac:dyDescent="0.25">
      <c r="I1366" s="78"/>
    </row>
    <row r="1367" spans="9:9" x14ac:dyDescent="0.25">
      <c r="I1367" s="78"/>
    </row>
    <row r="1368" spans="9:9" x14ac:dyDescent="0.25">
      <c r="I1368" s="78"/>
    </row>
    <row r="1369" spans="9:9" x14ac:dyDescent="0.25">
      <c r="I1369" s="78"/>
    </row>
    <row r="1370" spans="9:9" x14ac:dyDescent="0.25">
      <c r="I1370" s="78"/>
    </row>
    <row r="1371" spans="9:9" x14ac:dyDescent="0.25">
      <c r="I1371" s="78"/>
    </row>
    <row r="1372" spans="9:9" x14ac:dyDescent="0.25">
      <c r="I1372" s="78"/>
    </row>
    <row r="1373" spans="9:9" x14ac:dyDescent="0.25">
      <c r="I1373" s="78"/>
    </row>
    <row r="1374" spans="9:9" x14ac:dyDescent="0.25">
      <c r="I1374" s="78"/>
    </row>
    <row r="1375" spans="9:9" x14ac:dyDescent="0.25">
      <c r="I1375" s="78"/>
    </row>
    <row r="1376" spans="9:9" x14ac:dyDescent="0.25">
      <c r="I1376" s="78"/>
    </row>
    <row r="1377" spans="9:9" x14ac:dyDescent="0.25">
      <c r="I1377" s="78"/>
    </row>
    <row r="1378" spans="9:9" x14ac:dyDescent="0.25">
      <c r="I1378" s="78"/>
    </row>
    <row r="1379" spans="9:9" x14ac:dyDescent="0.25">
      <c r="I1379" s="78"/>
    </row>
    <row r="1380" spans="9:9" x14ac:dyDescent="0.25">
      <c r="I1380" s="78"/>
    </row>
    <row r="1381" spans="9:9" x14ac:dyDescent="0.25">
      <c r="I1381" s="78"/>
    </row>
    <row r="1382" spans="9:9" x14ac:dyDescent="0.25">
      <c r="I1382" s="78"/>
    </row>
    <row r="1383" spans="9:9" x14ac:dyDescent="0.25">
      <c r="I1383" s="78"/>
    </row>
    <row r="1384" spans="9:9" x14ac:dyDescent="0.25">
      <c r="I1384" s="78"/>
    </row>
    <row r="1385" spans="9:9" x14ac:dyDescent="0.25">
      <c r="I1385" s="78"/>
    </row>
    <row r="1386" spans="9:9" x14ac:dyDescent="0.25">
      <c r="I1386" s="78"/>
    </row>
    <row r="1387" spans="9:9" x14ac:dyDescent="0.25">
      <c r="I1387" s="78"/>
    </row>
    <row r="1388" spans="9:9" x14ac:dyDescent="0.25">
      <c r="I1388" s="78"/>
    </row>
    <row r="1389" spans="9:9" x14ac:dyDescent="0.25">
      <c r="I1389" s="78"/>
    </row>
    <row r="1390" spans="9:9" x14ac:dyDescent="0.25">
      <c r="I1390" s="78"/>
    </row>
    <row r="1391" spans="9:9" x14ac:dyDescent="0.25">
      <c r="I1391" s="78"/>
    </row>
    <row r="1392" spans="9:9" x14ac:dyDescent="0.25">
      <c r="I1392" s="78"/>
    </row>
    <row r="1393" spans="9:9" x14ac:dyDescent="0.25">
      <c r="I1393" s="78"/>
    </row>
    <row r="1394" spans="9:9" x14ac:dyDescent="0.25">
      <c r="I1394" s="78"/>
    </row>
    <row r="1395" spans="9:9" x14ac:dyDescent="0.25">
      <c r="I1395" s="78"/>
    </row>
    <row r="1396" spans="9:9" x14ac:dyDescent="0.25">
      <c r="I1396" s="78"/>
    </row>
    <row r="1397" spans="9:9" x14ac:dyDescent="0.25">
      <c r="I1397" s="78"/>
    </row>
    <row r="1398" spans="9:9" x14ac:dyDescent="0.25">
      <c r="I1398" s="78"/>
    </row>
    <row r="1399" spans="9:9" x14ac:dyDescent="0.25">
      <c r="I1399" s="78"/>
    </row>
    <row r="1400" spans="9:9" x14ac:dyDescent="0.25">
      <c r="I1400" s="78"/>
    </row>
    <row r="1401" spans="9:9" x14ac:dyDescent="0.25">
      <c r="I1401" s="78"/>
    </row>
    <row r="1402" spans="9:9" x14ac:dyDescent="0.25">
      <c r="I1402" s="78"/>
    </row>
    <row r="1403" spans="9:9" x14ac:dyDescent="0.25">
      <c r="I1403" s="78"/>
    </row>
    <row r="1404" spans="9:9" x14ac:dyDescent="0.25">
      <c r="I1404" s="78"/>
    </row>
    <row r="1405" spans="9:9" x14ac:dyDescent="0.25">
      <c r="I1405" s="78"/>
    </row>
    <row r="1406" spans="9:9" x14ac:dyDescent="0.25">
      <c r="I1406" s="78"/>
    </row>
    <row r="1407" spans="9:9" x14ac:dyDescent="0.25">
      <c r="I1407" s="78"/>
    </row>
    <row r="1408" spans="9:9" x14ac:dyDescent="0.25">
      <c r="I1408" s="78"/>
    </row>
    <row r="1409" spans="9:9" x14ac:dyDescent="0.25">
      <c r="I1409" s="78"/>
    </row>
    <row r="1410" spans="9:9" x14ac:dyDescent="0.25">
      <c r="I1410" s="78"/>
    </row>
    <row r="1411" spans="9:9" x14ac:dyDescent="0.25">
      <c r="I1411" s="78"/>
    </row>
    <row r="1412" spans="9:9" x14ac:dyDescent="0.25">
      <c r="I1412" s="78"/>
    </row>
    <row r="1413" spans="9:9" x14ac:dyDescent="0.25">
      <c r="I1413" s="78"/>
    </row>
    <row r="1414" spans="9:9" x14ac:dyDescent="0.25">
      <c r="I1414" s="78"/>
    </row>
    <row r="1415" spans="9:9" x14ac:dyDescent="0.25">
      <c r="I1415" s="78"/>
    </row>
    <row r="1416" spans="9:9" x14ac:dyDescent="0.25">
      <c r="I1416" s="78"/>
    </row>
    <row r="1417" spans="9:9" x14ac:dyDescent="0.25">
      <c r="I1417" s="78"/>
    </row>
    <row r="1418" spans="9:9" x14ac:dyDescent="0.25">
      <c r="I1418" s="78"/>
    </row>
    <row r="1419" spans="9:9" x14ac:dyDescent="0.25">
      <c r="I1419" s="78"/>
    </row>
    <row r="1420" spans="9:9" x14ac:dyDescent="0.25">
      <c r="I1420" s="78"/>
    </row>
    <row r="1421" spans="9:9" x14ac:dyDescent="0.25">
      <c r="I1421" s="78"/>
    </row>
    <row r="1422" spans="9:9" x14ac:dyDescent="0.25">
      <c r="I1422" s="78"/>
    </row>
    <row r="1423" spans="9:9" x14ac:dyDescent="0.25">
      <c r="I1423" s="78"/>
    </row>
    <row r="1424" spans="9:9" x14ac:dyDescent="0.25">
      <c r="I1424" s="78"/>
    </row>
    <row r="1425" spans="9:9" x14ac:dyDescent="0.25">
      <c r="I1425" s="78"/>
    </row>
    <row r="1426" spans="9:9" x14ac:dyDescent="0.25">
      <c r="I1426" s="78"/>
    </row>
    <row r="1427" spans="9:9" x14ac:dyDescent="0.25">
      <c r="I1427" s="78"/>
    </row>
    <row r="1428" spans="9:9" x14ac:dyDescent="0.25">
      <c r="I1428" s="78"/>
    </row>
    <row r="1429" spans="9:9" x14ac:dyDescent="0.25">
      <c r="I1429" s="78"/>
    </row>
    <row r="1430" spans="9:9" x14ac:dyDescent="0.25">
      <c r="I1430" s="78"/>
    </row>
    <row r="1431" spans="9:9" x14ac:dyDescent="0.25">
      <c r="I1431" s="78"/>
    </row>
    <row r="1432" spans="9:9" x14ac:dyDescent="0.25">
      <c r="I1432" s="78"/>
    </row>
    <row r="1433" spans="9:9" x14ac:dyDescent="0.25">
      <c r="I1433" s="78"/>
    </row>
    <row r="1434" spans="9:9" x14ac:dyDescent="0.25">
      <c r="I1434" s="78"/>
    </row>
    <row r="1435" spans="9:9" x14ac:dyDescent="0.25">
      <c r="I1435" s="78"/>
    </row>
    <row r="1436" spans="9:9" x14ac:dyDescent="0.25">
      <c r="I1436" s="78"/>
    </row>
    <row r="1437" spans="9:9" x14ac:dyDescent="0.25">
      <c r="I1437" s="78"/>
    </row>
    <row r="1438" spans="9:9" x14ac:dyDescent="0.25">
      <c r="I1438" s="78"/>
    </row>
    <row r="1439" spans="9:9" x14ac:dyDescent="0.25">
      <c r="I1439" s="78"/>
    </row>
    <row r="1440" spans="9:9" x14ac:dyDescent="0.25">
      <c r="I1440" s="78"/>
    </row>
    <row r="1441" spans="9:9" x14ac:dyDescent="0.25">
      <c r="I1441" s="78"/>
    </row>
    <row r="1442" spans="9:9" x14ac:dyDescent="0.25">
      <c r="I1442" s="78"/>
    </row>
    <row r="1443" spans="9:9" x14ac:dyDescent="0.25">
      <c r="I1443" s="78"/>
    </row>
    <row r="1444" spans="9:9" x14ac:dyDescent="0.25">
      <c r="I1444" s="78"/>
    </row>
    <row r="1445" spans="9:9" x14ac:dyDescent="0.25">
      <c r="I1445" s="78"/>
    </row>
    <row r="1446" spans="9:9" x14ac:dyDescent="0.25">
      <c r="I1446" s="78"/>
    </row>
    <row r="1447" spans="9:9" x14ac:dyDescent="0.25">
      <c r="I1447" s="78"/>
    </row>
    <row r="1448" spans="9:9" x14ac:dyDescent="0.25">
      <c r="I1448" s="78"/>
    </row>
    <row r="1449" spans="9:9" x14ac:dyDescent="0.25">
      <c r="I1449" s="78"/>
    </row>
    <row r="1450" spans="9:9" x14ac:dyDescent="0.25">
      <c r="I1450" s="78"/>
    </row>
    <row r="1451" spans="9:9" x14ac:dyDescent="0.25">
      <c r="I1451" s="78"/>
    </row>
    <row r="1452" spans="9:9" x14ac:dyDescent="0.25">
      <c r="I1452" s="78"/>
    </row>
    <row r="1453" spans="9:9" x14ac:dyDescent="0.25">
      <c r="I1453" s="78"/>
    </row>
    <row r="1454" spans="9:9" x14ac:dyDescent="0.25">
      <c r="I1454" s="78"/>
    </row>
    <row r="1455" spans="9:9" x14ac:dyDescent="0.25">
      <c r="I1455" s="78"/>
    </row>
    <row r="1456" spans="9:9" x14ac:dyDescent="0.25">
      <c r="I1456" s="78"/>
    </row>
    <row r="1457" spans="9:9" x14ac:dyDescent="0.25">
      <c r="I1457" s="78"/>
    </row>
    <row r="1458" spans="9:9" x14ac:dyDescent="0.25">
      <c r="I1458" s="78"/>
    </row>
    <row r="1459" spans="9:9" x14ac:dyDescent="0.25">
      <c r="I1459" s="78"/>
    </row>
    <row r="1460" spans="9:9" x14ac:dyDescent="0.25">
      <c r="I1460" s="78"/>
    </row>
    <row r="1461" spans="9:9" x14ac:dyDescent="0.25">
      <c r="I1461" s="78"/>
    </row>
    <row r="1462" spans="9:9" x14ac:dyDescent="0.25">
      <c r="I1462" s="78"/>
    </row>
    <row r="1463" spans="9:9" x14ac:dyDescent="0.25">
      <c r="I1463" s="78"/>
    </row>
    <row r="1464" spans="9:9" x14ac:dyDescent="0.25">
      <c r="I1464" s="78"/>
    </row>
    <row r="1465" spans="9:9" x14ac:dyDescent="0.25">
      <c r="I1465" s="78"/>
    </row>
    <row r="1466" spans="9:9" x14ac:dyDescent="0.25">
      <c r="I1466" s="78"/>
    </row>
    <row r="1467" spans="9:9" x14ac:dyDescent="0.25">
      <c r="I1467" s="78"/>
    </row>
    <row r="1468" spans="9:9" x14ac:dyDescent="0.25">
      <c r="I1468" s="78"/>
    </row>
    <row r="1469" spans="9:9" x14ac:dyDescent="0.25">
      <c r="I1469" s="78"/>
    </row>
    <row r="1470" spans="9:9" x14ac:dyDescent="0.25">
      <c r="I1470" s="78"/>
    </row>
    <row r="1471" spans="9:9" x14ac:dyDescent="0.25">
      <c r="I1471" s="78"/>
    </row>
    <row r="1472" spans="9:9" x14ac:dyDescent="0.25">
      <c r="I1472" s="78"/>
    </row>
    <row r="1473" spans="9:9" x14ac:dyDescent="0.25">
      <c r="I1473" s="78"/>
    </row>
    <row r="1474" spans="9:9" x14ac:dyDescent="0.25">
      <c r="I1474" s="78"/>
    </row>
    <row r="1475" spans="9:9" x14ac:dyDescent="0.25">
      <c r="I1475" s="78"/>
    </row>
    <row r="1476" spans="9:9" x14ac:dyDescent="0.25">
      <c r="I1476" s="78"/>
    </row>
    <row r="1477" spans="9:9" x14ac:dyDescent="0.25">
      <c r="I1477" s="78"/>
    </row>
    <row r="1478" spans="9:9" x14ac:dyDescent="0.25">
      <c r="I1478" s="78"/>
    </row>
    <row r="1479" spans="9:9" x14ac:dyDescent="0.25">
      <c r="I1479" s="78"/>
    </row>
    <row r="1480" spans="9:9" x14ac:dyDescent="0.25">
      <c r="I1480" s="78"/>
    </row>
    <row r="1481" spans="9:9" x14ac:dyDescent="0.25">
      <c r="I1481" s="78"/>
    </row>
    <row r="1482" spans="9:9" x14ac:dyDescent="0.25">
      <c r="I1482" s="78"/>
    </row>
    <row r="1483" spans="9:9" x14ac:dyDescent="0.25">
      <c r="I1483" s="78"/>
    </row>
    <row r="1484" spans="9:9" x14ac:dyDescent="0.25">
      <c r="I1484" s="78"/>
    </row>
    <row r="1485" spans="9:9" x14ac:dyDescent="0.25">
      <c r="I1485" s="78"/>
    </row>
    <row r="1486" spans="9:9" x14ac:dyDescent="0.25">
      <c r="I1486" s="78"/>
    </row>
    <row r="1487" spans="9:9" x14ac:dyDescent="0.25">
      <c r="I1487" s="78"/>
    </row>
    <row r="1488" spans="9:9" x14ac:dyDescent="0.25">
      <c r="I1488" s="78"/>
    </row>
    <row r="1489" spans="9:9" x14ac:dyDescent="0.25">
      <c r="I1489" s="78"/>
    </row>
    <row r="1490" spans="9:9" x14ac:dyDescent="0.25">
      <c r="I1490" s="78"/>
    </row>
    <row r="1491" spans="9:9" x14ac:dyDescent="0.25">
      <c r="I1491" s="78"/>
    </row>
    <row r="1492" spans="9:9" x14ac:dyDescent="0.25">
      <c r="I1492" s="78"/>
    </row>
    <row r="1493" spans="9:9" x14ac:dyDescent="0.25">
      <c r="I1493" s="78"/>
    </row>
    <row r="1494" spans="9:9" x14ac:dyDescent="0.25">
      <c r="I1494" s="78"/>
    </row>
    <row r="1495" spans="9:9" x14ac:dyDescent="0.25">
      <c r="I1495" s="78"/>
    </row>
    <row r="1496" spans="9:9" x14ac:dyDescent="0.25">
      <c r="I1496" s="78"/>
    </row>
    <row r="1497" spans="9:9" x14ac:dyDescent="0.25">
      <c r="I1497" s="78"/>
    </row>
    <row r="1498" spans="9:9" x14ac:dyDescent="0.25">
      <c r="I1498" s="78"/>
    </row>
    <row r="1499" spans="9:9" x14ac:dyDescent="0.25">
      <c r="I1499" s="78"/>
    </row>
    <row r="1500" spans="9:9" x14ac:dyDescent="0.25">
      <c r="I1500" s="78"/>
    </row>
    <row r="1501" spans="9:9" x14ac:dyDescent="0.25">
      <c r="I1501" s="78"/>
    </row>
    <row r="1502" spans="9:9" x14ac:dyDescent="0.25">
      <c r="I1502" s="78"/>
    </row>
    <row r="1503" spans="9:9" x14ac:dyDescent="0.25">
      <c r="I1503" s="78"/>
    </row>
    <row r="1504" spans="9:9" x14ac:dyDescent="0.25">
      <c r="I1504" s="78"/>
    </row>
    <row r="1505" spans="9:9" x14ac:dyDescent="0.25">
      <c r="I1505" s="78"/>
    </row>
    <row r="1506" spans="9:9" x14ac:dyDescent="0.25">
      <c r="I1506" s="78"/>
    </row>
    <row r="1507" spans="9:9" x14ac:dyDescent="0.25">
      <c r="I1507" s="78"/>
    </row>
    <row r="1508" spans="9:9" x14ac:dyDescent="0.25">
      <c r="I1508" s="78"/>
    </row>
    <row r="1509" spans="9:9" x14ac:dyDescent="0.25">
      <c r="I1509" s="78"/>
    </row>
    <row r="1510" spans="9:9" x14ac:dyDescent="0.25">
      <c r="I1510" s="78"/>
    </row>
    <row r="1511" spans="9:9" x14ac:dyDescent="0.25">
      <c r="I1511" s="78"/>
    </row>
    <row r="1512" spans="9:9" x14ac:dyDescent="0.25">
      <c r="I1512" s="78"/>
    </row>
    <row r="1513" spans="9:9" x14ac:dyDescent="0.25">
      <c r="I1513" s="78"/>
    </row>
    <row r="1514" spans="9:9" x14ac:dyDescent="0.25">
      <c r="I1514" s="78"/>
    </row>
    <row r="1515" spans="9:9" x14ac:dyDescent="0.25">
      <c r="I1515" s="78"/>
    </row>
    <row r="1516" spans="9:9" x14ac:dyDescent="0.25">
      <c r="I1516" s="78"/>
    </row>
    <row r="1517" spans="9:9" x14ac:dyDescent="0.25">
      <c r="I1517" s="78"/>
    </row>
    <row r="1518" spans="9:9" x14ac:dyDescent="0.25">
      <c r="I1518" s="78"/>
    </row>
    <row r="1519" spans="9:9" x14ac:dyDescent="0.25">
      <c r="I1519" s="78"/>
    </row>
    <row r="1520" spans="9:9" x14ac:dyDescent="0.25">
      <c r="I1520" s="78"/>
    </row>
    <row r="1521" spans="9:9" x14ac:dyDescent="0.25">
      <c r="I1521" s="78"/>
    </row>
    <row r="1522" spans="9:9" x14ac:dyDescent="0.25">
      <c r="I1522" s="78"/>
    </row>
    <row r="1523" spans="9:9" x14ac:dyDescent="0.25">
      <c r="I1523" s="78"/>
    </row>
    <row r="1524" spans="9:9" x14ac:dyDescent="0.25">
      <c r="I1524" s="78"/>
    </row>
    <row r="1525" spans="9:9" x14ac:dyDescent="0.25">
      <c r="I1525" s="78"/>
    </row>
    <row r="1526" spans="9:9" x14ac:dyDescent="0.25">
      <c r="I1526" s="78"/>
    </row>
    <row r="1527" spans="9:9" x14ac:dyDescent="0.25">
      <c r="I1527" s="78"/>
    </row>
    <row r="1528" spans="9:9" x14ac:dyDescent="0.25">
      <c r="I1528" s="78"/>
    </row>
    <row r="1529" spans="9:9" x14ac:dyDescent="0.25">
      <c r="I1529" s="78"/>
    </row>
    <row r="1530" spans="9:9" x14ac:dyDescent="0.25">
      <c r="I1530" s="78"/>
    </row>
    <row r="1531" spans="9:9" x14ac:dyDescent="0.25">
      <c r="I1531" s="78"/>
    </row>
    <row r="1532" spans="9:9" x14ac:dyDescent="0.25">
      <c r="I1532" s="78"/>
    </row>
    <row r="1533" spans="9:9" x14ac:dyDescent="0.25">
      <c r="I1533" s="78"/>
    </row>
    <row r="1534" spans="9:9" x14ac:dyDescent="0.25">
      <c r="I1534" s="78"/>
    </row>
    <row r="1535" spans="9:9" x14ac:dyDescent="0.25">
      <c r="I1535" s="78"/>
    </row>
    <row r="1536" spans="9:9" x14ac:dyDescent="0.25">
      <c r="I1536" s="78"/>
    </row>
    <row r="1537" spans="9:9" x14ac:dyDescent="0.25">
      <c r="I1537" s="78"/>
    </row>
    <row r="1538" spans="9:9" x14ac:dyDescent="0.25">
      <c r="I1538" s="78"/>
    </row>
    <row r="1539" spans="9:9" x14ac:dyDescent="0.25">
      <c r="I1539" s="78"/>
    </row>
    <row r="1540" spans="9:9" x14ac:dyDescent="0.25">
      <c r="I1540" s="78"/>
    </row>
    <row r="1541" spans="9:9" x14ac:dyDescent="0.25">
      <c r="I1541" s="78"/>
    </row>
    <row r="1542" spans="9:9" x14ac:dyDescent="0.25">
      <c r="I1542" s="78"/>
    </row>
    <row r="1543" spans="9:9" x14ac:dyDescent="0.25">
      <c r="I1543" s="78"/>
    </row>
    <row r="1544" spans="9:9" x14ac:dyDescent="0.25">
      <c r="I1544" s="78"/>
    </row>
    <row r="1545" spans="9:9" x14ac:dyDescent="0.25">
      <c r="I1545" s="78"/>
    </row>
    <row r="1546" spans="9:9" x14ac:dyDescent="0.25">
      <c r="I1546" s="78"/>
    </row>
    <row r="1547" spans="9:9" x14ac:dyDescent="0.25">
      <c r="I1547" s="78"/>
    </row>
    <row r="1548" spans="9:9" x14ac:dyDescent="0.25">
      <c r="I1548" s="78"/>
    </row>
    <row r="1549" spans="9:9" x14ac:dyDescent="0.25">
      <c r="I1549" s="78"/>
    </row>
    <row r="1550" spans="9:9" x14ac:dyDescent="0.25">
      <c r="I1550" s="78"/>
    </row>
    <row r="1551" spans="9:9" x14ac:dyDescent="0.25">
      <c r="I1551" s="78"/>
    </row>
    <row r="1552" spans="9:9" x14ac:dyDescent="0.25">
      <c r="I1552" s="78"/>
    </row>
    <row r="1553" spans="9:9" x14ac:dyDescent="0.25">
      <c r="I1553" s="78"/>
    </row>
    <row r="1554" spans="9:9" x14ac:dyDescent="0.25">
      <c r="I1554" s="78"/>
    </row>
    <row r="1555" spans="9:9" x14ac:dyDescent="0.25">
      <c r="I1555" s="78"/>
    </row>
    <row r="1556" spans="9:9" x14ac:dyDescent="0.25">
      <c r="I1556" s="78"/>
    </row>
    <row r="1557" spans="9:9" x14ac:dyDescent="0.25">
      <c r="I1557" s="78"/>
    </row>
    <row r="1558" spans="9:9" x14ac:dyDescent="0.25">
      <c r="I1558" s="78"/>
    </row>
    <row r="1559" spans="9:9" x14ac:dyDescent="0.25">
      <c r="I1559" s="78"/>
    </row>
    <row r="1560" spans="9:9" x14ac:dyDescent="0.25">
      <c r="I1560" s="78"/>
    </row>
    <row r="1561" spans="9:9" x14ac:dyDescent="0.25">
      <c r="I1561" s="78"/>
    </row>
    <row r="1562" spans="9:9" x14ac:dyDescent="0.25">
      <c r="I1562" s="78"/>
    </row>
    <row r="1563" spans="9:9" x14ac:dyDescent="0.25">
      <c r="I1563" s="78"/>
    </row>
    <row r="1564" spans="9:9" x14ac:dyDescent="0.25">
      <c r="I1564" s="78"/>
    </row>
    <row r="1565" spans="9:9" x14ac:dyDescent="0.25">
      <c r="I1565" s="78"/>
    </row>
    <row r="1566" spans="9:9" x14ac:dyDescent="0.25">
      <c r="I1566" s="78"/>
    </row>
    <row r="1567" spans="9:9" x14ac:dyDescent="0.25">
      <c r="I1567" s="78"/>
    </row>
    <row r="1568" spans="9:9" x14ac:dyDescent="0.25">
      <c r="I1568" s="78"/>
    </row>
    <row r="1569" spans="9:9" x14ac:dyDescent="0.25">
      <c r="I1569" s="78"/>
    </row>
    <row r="1570" spans="9:9" x14ac:dyDescent="0.25">
      <c r="I1570" s="78"/>
    </row>
    <row r="1571" spans="9:9" x14ac:dyDescent="0.25">
      <c r="I1571" s="78"/>
    </row>
    <row r="1572" spans="9:9" x14ac:dyDescent="0.25">
      <c r="I1572" s="78"/>
    </row>
    <row r="1573" spans="9:9" x14ac:dyDescent="0.25">
      <c r="I1573" s="78"/>
    </row>
    <row r="1574" spans="9:9" x14ac:dyDescent="0.25">
      <c r="I1574" s="78"/>
    </row>
    <row r="1575" spans="9:9" x14ac:dyDescent="0.25">
      <c r="I1575" s="78"/>
    </row>
    <row r="1576" spans="9:9" x14ac:dyDescent="0.25">
      <c r="I1576" s="78"/>
    </row>
    <row r="1577" spans="9:9" x14ac:dyDescent="0.25">
      <c r="I1577" s="78"/>
    </row>
    <row r="1578" spans="9:9" x14ac:dyDescent="0.25">
      <c r="I1578" s="78"/>
    </row>
    <row r="1579" spans="9:9" x14ac:dyDescent="0.25">
      <c r="I1579" s="78"/>
    </row>
    <row r="1580" spans="9:9" x14ac:dyDescent="0.25">
      <c r="I1580" s="78"/>
    </row>
    <row r="1581" spans="9:9" x14ac:dyDescent="0.25">
      <c r="I1581" s="78"/>
    </row>
    <row r="1582" spans="9:9" x14ac:dyDescent="0.25">
      <c r="I1582" s="78"/>
    </row>
    <row r="1583" spans="9:9" x14ac:dyDescent="0.25">
      <c r="I1583" s="78"/>
    </row>
    <row r="1584" spans="9:9" x14ac:dyDescent="0.25">
      <c r="I1584" s="78"/>
    </row>
    <row r="1585" spans="9:9" x14ac:dyDescent="0.25">
      <c r="I1585" s="78"/>
    </row>
    <row r="1586" spans="9:9" x14ac:dyDescent="0.25">
      <c r="I1586" s="78"/>
    </row>
    <row r="1587" spans="9:9" x14ac:dyDescent="0.25">
      <c r="I1587" s="78"/>
    </row>
    <row r="1588" spans="9:9" x14ac:dyDescent="0.25">
      <c r="I1588" s="78"/>
    </row>
    <row r="1589" spans="9:9" x14ac:dyDescent="0.25">
      <c r="I1589" s="78"/>
    </row>
    <row r="1590" spans="9:9" x14ac:dyDescent="0.25">
      <c r="I1590" s="78"/>
    </row>
    <row r="1591" spans="9:9" x14ac:dyDescent="0.25">
      <c r="I1591" s="78"/>
    </row>
    <row r="1592" spans="9:9" x14ac:dyDescent="0.25">
      <c r="I1592" s="78"/>
    </row>
    <row r="1593" spans="9:9" x14ac:dyDescent="0.25">
      <c r="I1593" s="78"/>
    </row>
    <row r="1594" spans="9:9" x14ac:dyDescent="0.25">
      <c r="I1594" s="78"/>
    </row>
    <row r="1595" spans="9:9" x14ac:dyDescent="0.25">
      <c r="I1595" s="78"/>
    </row>
    <row r="1596" spans="9:9" x14ac:dyDescent="0.25">
      <c r="I1596" s="78"/>
    </row>
    <row r="1597" spans="9:9" x14ac:dyDescent="0.25">
      <c r="I1597" s="78"/>
    </row>
    <row r="1598" spans="9:9" x14ac:dyDescent="0.25">
      <c r="I1598" s="78"/>
    </row>
    <row r="1599" spans="9:9" x14ac:dyDescent="0.25">
      <c r="I1599" s="78"/>
    </row>
    <row r="1600" spans="9:9" x14ac:dyDescent="0.25">
      <c r="I1600" s="78"/>
    </row>
    <row r="1601" spans="9:9" x14ac:dyDescent="0.25">
      <c r="I1601" s="78"/>
    </row>
    <row r="1602" spans="9:9" x14ac:dyDescent="0.25">
      <c r="I1602" s="78"/>
    </row>
    <row r="1603" spans="9:9" x14ac:dyDescent="0.25">
      <c r="I1603" s="78"/>
    </row>
    <row r="1604" spans="9:9" x14ac:dyDescent="0.25">
      <c r="I1604" s="78"/>
    </row>
    <row r="1605" spans="9:9" x14ac:dyDescent="0.25">
      <c r="I1605" s="78"/>
    </row>
    <row r="1606" spans="9:9" x14ac:dyDescent="0.25">
      <c r="I1606" s="78"/>
    </row>
    <row r="1607" spans="9:9" x14ac:dyDescent="0.25">
      <c r="I1607" s="78"/>
    </row>
    <row r="1608" spans="9:9" x14ac:dyDescent="0.25">
      <c r="I1608" s="78"/>
    </row>
    <row r="1609" spans="9:9" x14ac:dyDescent="0.25">
      <c r="I1609" s="78"/>
    </row>
    <row r="1610" spans="9:9" x14ac:dyDescent="0.25">
      <c r="I1610" s="78"/>
    </row>
    <row r="1611" spans="9:9" x14ac:dyDescent="0.25">
      <c r="I1611" s="78"/>
    </row>
    <row r="1612" spans="9:9" x14ac:dyDescent="0.25">
      <c r="I1612" s="78"/>
    </row>
    <row r="1613" spans="9:9" x14ac:dyDescent="0.25">
      <c r="I1613" s="78"/>
    </row>
    <row r="1614" spans="9:9" x14ac:dyDescent="0.25">
      <c r="I1614" s="78"/>
    </row>
    <row r="1615" spans="9:9" x14ac:dyDescent="0.25">
      <c r="I1615" s="78"/>
    </row>
    <row r="1616" spans="9:9" x14ac:dyDescent="0.25">
      <c r="I1616" s="78"/>
    </row>
    <row r="1617" spans="9:9" x14ac:dyDescent="0.25">
      <c r="I1617" s="78"/>
    </row>
    <row r="1618" spans="9:9" x14ac:dyDescent="0.25">
      <c r="I1618" s="78"/>
    </row>
    <row r="1619" spans="9:9" x14ac:dyDescent="0.25">
      <c r="I1619" s="78"/>
    </row>
    <row r="1620" spans="9:9" x14ac:dyDescent="0.25">
      <c r="I1620" s="78"/>
    </row>
    <row r="1621" spans="9:9" x14ac:dyDescent="0.25">
      <c r="I1621" s="78"/>
    </row>
    <row r="1622" spans="9:9" x14ac:dyDescent="0.25">
      <c r="I1622" s="78"/>
    </row>
    <row r="1623" spans="9:9" x14ac:dyDescent="0.25">
      <c r="I1623" s="78"/>
    </row>
    <row r="1624" spans="9:9" x14ac:dyDescent="0.25">
      <c r="I1624" s="78"/>
    </row>
    <row r="1625" spans="9:9" x14ac:dyDescent="0.25">
      <c r="I1625" s="78"/>
    </row>
    <row r="1626" spans="9:9" x14ac:dyDescent="0.25">
      <c r="I1626" s="78"/>
    </row>
    <row r="1627" spans="9:9" x14ac:dyDescent="0.25">
      <c r="I1627" s="78"/>
    </row>
    <row r="1628" spans="9:9" x14ac:dyDescent="0.25">
      <c r="I1628" s="78"/>
    </row>
    <row r="1629" spans="9:9" x14ac:dyDescent="0.25">
      <c r="I1629" s="78"/>
    </row>
    <row r="1630" spans="9:9" x14ac:dyDescent="0.25">
      <c r="I1630" s="78"/>
    </row>
    <row r="1631" spans="9:9" x14ac:dyDescent="0.25">
      <c r="I1631" s="78"/>
    </row>
    <row r="1632" spans="9:9" x14ac:dyDescent="0.25">
      <c r="I1632" s="78"/>
    </row>
    <row r="1633" spans="9:9" x14ac:dyDescent="0.25">
      <c r="I1633" s="78"/>
    </row>
    <row r="1634" spans="9:9" x14ac:dyDescent="0.25">
      <c r="I1634" s="78"/>
    </row>
    <row r="1635" spans="9:9" x14ac:dyDescent="0.25">
      <c r="I1635" s="78"/>
    </row>
    <row r="1636" spans="9:9" x14ac:dyDescent="0.25">
      <c r="I1636" s="78"/>
    </row>
    <row r="1637" spans="9:9" x14ac:dyDescent="0.25">
      <c r="I1637" s="78"/>
    </row>
    <row r="1638" spans="9:9" x14ac:dyDescent="0.25">
      <c r="I1638" s="78"/>
    </row>
    <row r="1639" spans="9:9" x14ac:dyDescent="0.25">
      <c r="I1639" s="78"/>
    </row>
    <row r="1640" spans="9:9" x14ac:dyDescent="0.25">
      <c r="I1640" s="78"/>
    </row>
    <row r="1641" spans="9:9" x14ac:dyDescent="0.25">
      <c r="I1641" s="78"/>
    </row>
    <row r="1642" spans="9:9" x14ac:dyDescent="0.25">
      <c r="I1642" s="78"/>
    </row>
    <row r="1643" spans="9:9" x14ac:dyDescent="0.25">
      <c r="I1643" s="78"/>
    </row>
    <row r="1644" spans="9:9" x14ac:dyDescent="0.25">
      <c r="I1644" s="78"/>
    </row>
    <row r="1645" spans="9:9" x14ac:dyDescent="0.25">
      <c r="I1645" s="78"/>
    </row>
    <row r="1646" spans="9:9" x14ac:dyDescent="0.25">
      <c r="I1646" s="78"/>
    </row>
    <row r="1647" spans="9:9" x14ac:dyDescent="0.25">
      <c r="I1647" s="78"/>
    </row>
    <row r="1648" spans="9:9" x14ac:dyDescent="0.25">
      <c r="I1648" s="78"/>
    </row>
    <row r="1649" spans="9:9" x14ac:dyDescent="0.25">
      <c r="I1649" s="78"/>
    </row>
    <row r="1650" spans="9:9" x14ac:dyDescent="0.25">
      <c r="I1650" s="78"/>
    </row>
    <row r="1651" spans="9:9" x14ac:dyDescent="0.25">
      <c r="I1651" s="78"/>
    </row>
    <row r="1652" spans="9:9" x14ac:dyDescent="0.25">
      <c r="I1652" s="78"/>
    </row>
    <row r="1653" spans="9:9" x14ac:dyDescent="0.25">
      <c r="I1653" s="78"/>
    </row>
    <row r="1654" spans="9:9" x14ac:dyDescent="0.25">
      <c r="I1654" s="78"/>
    </row>
    <row r="1655" spans="9:9" x14ac:dyDescent="0.25">
      <c r="I1655" s="78"/>
    </row>
    <row r="1656" spans="9:9" x14ac:dyDescent="0.25">
      <c r="I1656" s="78"/>
    </row>
    <row r="1657" spans="9:9" x14ac:dyDescent="0.25">
      <c r="I1657" s="78"/>
    </row>
    <row r="1658" spans="9:9" x14ac:dyDescent="0.25">
      <c r="I1658" s="78"/>
    </row>
    <row r="1659" spans="9:9" x14ac:dyDescent="0.25">
      <c r="I1659" s="78"/>
    </row>
    <row r="1660" spans="9:9" x14ac:dyDescent="0.25">
      <c r="I1660" s="78"/>
    </row>
    <row r="1661" spans="9:9" x14ac:dyDescent="0.25">
      <c r="I1661" s="78"/>
    </row>
    <row r="1662" spans="9:9" x14ac:dyDescent="0.25">
      <c r="I1662" s="78"/>
    </row>
    <row r="1663" spans="9:9" x14ac:dyDescent="0.25">
      <c r="I1663" s="78"/>
    </row>
    <row r="1664" spans="9:9" x14ac:dyDescent="0.25">
      <c r="I1664" s="78"/>
    </row>
    <row r="1665" spans="9:9" x14ac:dyDescent="0.25">
      <c r="I1665" s="78"/>
    </row>
    <row r="1666" spans="9:9" x14ac:dyDescent="0.25">
      <c r="I1666" s="78"/>
    </row>
    <row r="1667" spans="9:9" x14ac:dyDescent="0.25">
      <c r="I1667" s="78"/>
    </row>
    <row r="1668" spans="9:9" x14ac:dyDescent="0.25">
      <c r="I1668" s="78"/>
    </row>
    <row r="1669" spans="9:9" x14ac:dyDescent="0.25">
      <c r="I1669" s="78"/>
    </row>
    <row r="1670" spans="9:9" x14ac:dyDescent="0.25">
      <c r="I1670" s="78"/>
    </row>
    <row r="1671" spans="9:9" x14ac:dyDescent="0.25">
      <c r="I1671" s="78"/>
    </row>
    <row r="1672" spans="9:9" x14ac:dyDescent="0.25">
      <c r="I1672" s="78"/>
    </row>
    <row r="1673" spans="9:9" x14ac:dyDescent="0.25">
      <c r="I1673" s="78"/>
    </row>
    <row r="1674" spans="9:9" x14ac:dyDescent="0.25">
      <c r="I1674" s="78"/>
    </row>
    <row r="1675" spans="9:9" x14ac:dyDescent="0.25">
      <c r="I1675" s="78"/>
    </row>
    <row r="1676" spans="9:9" x14ac:dyDescent="0.25">
      <c r="I1676" s="78"/>
    </row>
    <row r="1677" spans="9:9" x14ac:dyDescent="0.25">
      <c r="I1677" s="78"/>
    </row>
    <row r="1678" spans="9:9" x14ac:dyDescent="0.25">
      <c r="I1678" s="78"/>
    </row>
    <row r="1679" spans="9:9" x14ac:dyDescent="0.25">
      <c r="I1679" s="78"/>
    </row>
    <row r="1680" spans="9:9" x14ac:dyDescent="0.25">
      <c r="I1680" s="78"/>
    </row>
    <row r="1681" spans="9:9" x14ac:dyDescent="0.25">
      <c r="I1681" s="78"/>
    </row>
    <row r="1682" spans="9:9" x14ac:dyDescent="0.25">
      <c r="I1682" s="78"/>
    </row>
    <row r="1683" spans="9:9" x14ac:dyDescent="0.25">
      <c r="I1683" s="78"/>
    </row>
    <row r="1684" spans="9:9" x14ac:dyDescent="0.25">
      <c r="I1684" s="78"/>
    </row>
    <row r="1685" spans="9:9" x14ac:dyDescent="0.25">
      <c r="I1685" s="78"/>
    </row>
    <row r="1686" spans="9:9" x14ac:dyDescent="0.25">
      <c r="I1686" s="78"/>
    </row>
    <row r="1687" spans="9:9" x14ac:dyDescent="0.25">
      <c r="I1687" s="78"/>
    </row>
    <row r="1688" spans="9:9" x14ac:dyDescent="0.25">
      <c r="I1688" s="78"/>
    </row>
    <row r="1689" spans="9:9" x14ac:dyDescent="0.25">
      <c r="I1689" s="78"/>
    </row>
    <row r="1690" spans="9:9" x14ac:dyDescent="0.25">
      <c r="I1690" s="78"/>
    </row>
    <row r="1691" spans="9:9" x14ac:dyDescent="0.25">
      <c r="I1691" s="78"/>
    </row>
    <row r="1692" spans="9:9" x14ac:dyDescent="0.25">
      <c r="I1692" s="78"/>
    </row>
    <row r="1693" spans="9:9" x14ac:dyDescent="0.25">
      <c r="I1693" s="78"/>
    </row>
    <row r="1694" spans="9:9" x14ac:dyDescent="0.25">
      <c r="I1694" s="78"/>
    </row>
    <row r="1695" spans="9:9" x14ac:dyDescent="0.25">
      <c r="I1695" s="78"/>
    </row>
    <row r="1696" spans="9:9" x14ac:dyDescent="0.25">
      <c r="I1696" s="78"/>
    </row>
    <row r="1697" spans="9:9" x14ac:dyDescent="0.25">
      <c r="I1697" s="78"/>
    </row>
    <row r="1698" spans="9:9" x14ac:dyDescent="0.25">
      <c r="I1698" s="78"/>
    </row>
    <row r="1699" spans="9:9" x14ac:dyDescent="0.25">
      <c r="I1699" s="78"/>
    </row>
    <row r="1700" spans="9:9" x14ac:dyDescent="0.25">
      <c r="I1700" s="78"/>
    </row>
    <row r="1701" spans="9:9" x14ac:dyDescent="0.25">
      <c r="I1701" s="78"/>
    </row>
    <row r="1702" spans="9:9" x14ac:dyDescent="0.25">
      <c r="I1702" s="78"/>
    </row>
    <row r="1703" spans="9:9" x14ac:dyDescent="0.25">
      <c r="I1703" s="78"/>
    </row>
    <row r="1704" spans="9:9" x14ac:dyDescent="0.25">
      <c r="I1704" s="78"/>
    </row>
    <row r="1705" spans="9:9" x14ac:dyDescent="0.25">
      <c r="I1705" s="78"/>
    </row>
    <row r="1706" spans="9:9" x14ac:dyDescent="0.25">
      <c r="I1706" s="78"/>
    </row>
    <row r="1707" spans="9:9" x14ac:dyDescent="0.25">
      <c r="I1707" s="78"/>
    </row>
    <row r="1708" spans="9:9" x14ac:dyDescent="0.25">
      <c r="I1708" s="78"/>
    </row>
    <row r="1709" spans="9:9" x14ac:dyDescent="0.25">
      <c r="I1709" s="78"/>
    </row>
    <row r="1710" spans="9:9" x14ac:dyDescent="0.25">
      <c r="I1710" s="78"/>
    </row>
    <row r="1711" spans="9:9" x14ac:dyDescent="0.25">
      <c r="I1711" s="78"/>
    </row>
    <row r="1712" spans="9:9" x14ac:dyDescent="0.25">
      <c r="I1712" s="78"/>
    </row>
    <row r="1713" spans="9:9" x14ac:dyDescent="0.25">
      <c r="I1713" s="78"/>
    </row>
    <row r="1714" spans="9:9" x14ac:dyDescent="0.25">
      <c r="I1714" s="78"/>
    </row>
    <row r="1715" spans="9:9" x14ac:dyDescent="0.25">
      <c r="I1715" s="78"/>
    </row>
    <row r="1716" spans="9:9" x14ac:dyDescent="0.25">
      <c r="I1716" s="78"/>
    </row>
    <row r="1717" spans="9:9" x14ac:dyDescent="0.25">
      <c r="I1717" s="78"/>
    </row>
    <row r="1718" spans="9:9" x14ac:dyDescent="0.25">
      <c r="I1718" s="78"/>
    </row>
    <row r="1719" spans="9:9" x14ac:dyDescent="0.25">
      <c r="I1719" s="78"/>
    </row>
    <row r="1720" spans="9:9" x14ac:dyDescent="0.25">
      <c r="I1720" s="78"/>
    </row>
    <row r="1721" spans="9:9" x14ac:dyDescent="0.25">
      <c r="I1721" s="78"/>
    </row>
    <row r="1722" spans="9:9" x14ac:dyDescent="0.25">
      <c r="I1722" s="78"/>
    </row>
    <row r="1723" spans="9:9" x14ac:dyDescent="0.25">
      <c r="I1723" s="78"/>
    </row>
    <row r="1724" spans="9:9" x14ac:dyDescent="0.25">
      <c r="I1724" s="78"/>
    </row>
    <row r="1725" spans="9:9" x14ac:dyDescent="0.25">
      <c r="I1725" s="78"/>
    </row>
    <row r="1726" spans="9:9" x14ac:dyDescent="0.25">
      <c r="I1726" s="78"/>
    </row>
    <row r="1727" spans="9:9" x14ac:dyDescent="0.25">
      <c r="I1727" s="78"/>
    </row>
    <row r="1728" spans="9:9" x14ac:dyDescent="0.25">
      <c r="I1728" s="78"/>
    </row>
    <row r="1729" spans="9:9" x14ac:dyDescent="0.25">
      <c r="I1729" s="78"/>
    </row>
    <row r="1730" spans="9:9" x14ac:dyDescent="0.25">
      <c r="I1730" s="78"/>
    </row>
    <row r="1731" spans="9:9" x14ac:dyDescent="0.25">
      <c r="I1731" s="78"/>
    </row>
    <row r="1732" spans="9:9" x14ac:dyDescent="0.25">
      <c r="I1732" s="78"/>
    </row>
    <row r="1733" spans="9:9" x14ac:dyDescent="0.25">
      <c r="I1733" s="78"/>
    </row>
    <row r="1734" spans="9:9" x14ac:dyDescent="0.25">
      <c r="I1734" s="78"/>
    </row>
    <row r="1735" spans="9:9" x14ac:dyDescent="0.25">
      <c r="I1735" s="78"/>
    </row>
    <row r="1736" spans="9:9" x14ac:dyDescent="0.25">
      <c r="I1736" s="78"/>
    </row>
    <row r="1737" spans="9:9" x14ac:dyDescent="0.25">
      <c r="I1737" s="78"/>
    </row>
    <row r="1738" spans="9:9" x14ac:dyDescent="0.25">
      <c r="I1738" s="78"/>
    </row>
    <row r="1739" spans="9:9" x14ac:dyDescent="0.25">
      <c r="I1739" s="78"/>
    </row>
    <row r="1740" spans="9:9" x14ac:dyDescent="0.25">
      <c r="I1740" s="78"/>
    </row>
    <row r="1741" spans="9:9" x14ac:dyDescent="0.25">
      <c r="I1741" s="78"/>
    </row>
    <row r="1742" spans="9:9" x14ac:dyDescent="0.25">
      <c r="I1742" s="78"/>
    </row>
    <row r="1743" spans="9:9" x14ac:dyDescent="0.25">
      <c r="I1743" s="78"/>
    </row>
    <row r="1744" spans="9:9" x14ac:dyDescent="0.25">
      <c r="I1744" s="78"/>
    </row>
    <row r="1745" spans="9:9" x14ac:dyDescent="0.25">
      <c r="I1745" s="78"/>
    </row>
    <row r="1746" spans="9:9" x14ac:dyDescent="0.25">
      <c r="I1746" s="78"/>
    </row>
    <row r="1747" spans="9:9" x14ac:dyDescent="0.25">
      <c r="I1747" s="78"/>
    </row>
    <row r="1748" spans="9:9" x14ac:dyDescent="0.25">
      <c r="I1748" s="78"/>
    </row>
    <row r="1749" spans="9:9" x14ac:dyDescent="0.25">
      <c r="I1749" s="78"/>
    </row>
    <row r="1750" spans="9:9" x14ac:dyDescent="0.25">
      <c r="I1750" s="78"/>
    </row>
    <row r="1751" spans="9:9" x14ac:dyDescent="0.25">
      <c r="I1751" s="78"/>
    </row>
    <row r="1752" spans="9:9" x14ac:dyDescent="0.25">
      <c r="I1752" s="78"/>
    </row>
    <row r="1753" spans="9:9" x14ac:dyDescent="0.25">
      <c r="I1753" s="78"/>
    </row>
    <row r="1754" spans="9:9" x14ac:dyDescent="0.25">
      <c r="I1754" s="78"/>
    </row>
    <row r="1755" spans="9:9" x14ac:dyDescent="0.25">
      <c r="I1755" s="78"/>
    </row>
    <row r="1756" spans="9:9" x14ac:dyDescent="0.25">
      <c r="I1756" s="78"/>
    </row>
    <row r="1757" spans="9:9" x14ac:dyDescent="0.25">
      <c r="I1757" s="78"/>
    </row>
    <row r="1758" spans="9:9" x14ac:dyDescent="0.25">
      <c r="I1758" s="78"/>
    </row>
    <row r="1759" spans="9:9" x14ac:dyDescent="0.25">
      <c r="I1759" s="78"/>
    </row>
    <row r="1760" spans="9:9" x14ac:dyDescent="0.25">
      <c r="I1760" s="78"/>
    </row>
    <row r="1761" spans="9:9" x14ac:dyDescent="0.25">
      <c r="I1761" s="78"/>
    </row>
    <row r="1762" spans="9:9" x14ac:dyDescent="0.25">
      <c r="I1762" s="78"/>
    </row>
    <row r="1763" spans="9:9" x14ac:dyDescent="0.25">
      <c r="I1763" s="78"/>
    </row>
    <row r="1764" spans="9:9" x14ac:dyDescent="0.25">
      <c r="I1764" s="78"/>
    </row>
    <row r="1765" spans="9:9" x14ac:dyDescent="0.25">
      <c r="I1765" s="78"/>
    </row>
    <row r="1766" spans="9:9" x14ac:dyDescent="0.25">
      <c r="I1766" s="78"/>
    </row>
    <row r="1767" spans="9:9" x14ac:dyDescent="0.25">
      <c r="I1767" s="78"/>
    </row>
    <row r="1768" spans="9:9" x14ac:dyDescent="0.25">
      <c r="I1768" s="78"/>
    </row>
    <row r="1769" spans="9:9" x14ac:dyDescent="0.25">
      <c r="I1769" s="78"/>
    </row>
    <row r="1770" spans="9:9" x14ac:dyDescent="0.25">
      <c r="I1770" s="78"/>
    </row>
    <row r="1771" spans="9:9" x14ac:dyDescent="0.25">
      <c r="I1771" s="78"/>
    </row>
    <row r="1772" spans="9:9" x14ac:dyDescent="0.25">
      <c r="I1772" s="78"/>
    </row>
    <row r="1773" spans="9:9" x14ac:dyDescent="0.25">
      <c r="I1773" s="78"/>
    </row>
    <row r="1774" spans="9:9" x14ac:dyDescent="0.25">
      <c r="I1774" s="78"/>
    </row>
    <row r="1775" spans="9:9" x14ac:dyDescent="0.25">
      <c r="I1775" s="78"/>
    </row>
    <row r="1776" spans="9:9" x14ac:dyDescent="0.25">
      <c r="I1776" s="78"/>
    </row>
    <row r="1777" spans="9:9" x14ac:dyDescent="0.25">
      <c r="I1777" s="78"/>
    </row>
    <row r="1778" spans="9:9" x14ac:dyDescent="0.25">
      <c r="I1778" s="78"/>
    </row>
    <row r="1779" spans="9:9" x14ac:dyDescent="0.25">
      <c r="I1779" s="78"/>
    </row>
    <row r="1780" spans="9:9" x14ac:dyDescent="0.25">
      <c r="I1780" s="78"/>
    </row>
    <row r="1781" spans="9:9" x14ac:dyDescent="0.25">
      <c r="I1781" s="78"/>
    </row>
    <row r="1782" spans="9:9" x14ac:dyDescent="0.25">
      <c r="I1782" s="78"/>
    </row>
    <row r="1783" spans="9:9" x14ac:dyDescent="0.25">
      <c r="I1783" s="78"/>
    </row>
    <row r="1784" spans="9:9" x14ac:dyDescent="0.25">
      <c r="I1784" s="78"/>
    </row>
    <row r="1785" spans="9:9" x14ac:dyDescent="0.25">
      <c r="I1785" s="78"/>
    </row>
    <row r="1786" spans="9:9" x14ac:dyDescent="0.25">
      <c r="I1786" s="78"/>
    </row>
    <row r="1787" spans="9:9" x14ac:dyDescent="0.25">
      <c r="I1787" s="78"/>
    </row>
    <row r="1788" spans="9:9" x14ac:dyDescent="0.25">
      <c r="I1788" s="78"/>
    </row>
    <row r="1789" spans="9:9" x14ac:dyDescent="0.25">
      <c r="I1789" s="78"/>
    </row>
    <row r="1790" spans="9:9" x14ac:dyDescent="0.25">
      <c r="I1790" s="78"/>
    </row>
    <row r="1791" spans="9:9" x14ac:dyDescent="0.25">
      <c r="I1791" s="78"/>
    </row>
    <row r="1792" spans="9:9" x14ac:dyDescent="0.25">
      <c r="I1792" s="78"/>
    </row>
    <row r="1793" spans="9:9" x14ac:dyDescent="0.25">
      <c r="I1793" s="78"/>
    </row>
    <row r="1794" spans="9:9" x14ac:dyDescent="0.25">
      <c r="I1794" s="78"/>
    </row>
    <row r="1795" spans="9:9" x14ac:dyDescent="0.25">
      <c r="I1795" s="78"/>
    </row>
    <row r="1796" spans="9:9" x14ac:dyDescent="0.25">
      <c r="I1796" s="78"/>
    </row>
    <row r="1797" spans="9:9" x14ac:dyDescent="0.25">
      <c r="I1797" s="78"/>
    </row>
    <row r="1798" spans="9:9" x14ac:dyDescent="0.25">
      <c r="I1798" s="78"/>
    </row>
    <row r="1799" spans="9:9" x14ac:dyDescent="0.25">
      <c r="I1799" s="78"/>
    </row>
    <row r="1800" spans="9:9" x14ac:dyDescent="0.25">
      <c r="I1800" s="78"/>
    </row>
    <row r="1801" spans="9:9" x14ac:dyDescent="0.25">
      <c r="I1801" s="78"/>
    </row>
    <row r="1802" spans="9:9" x14ac:dyDescent="0.25">
      <c r="I1802" s="78"/>
    </row>
    <row r="1803" spans="9:9" x14ac:dyDescent="0.25">
      <c r="I1803" s="78"/>
    </row>
    <row r="1804" spans="9:9" x14ac:dyDescent="0.25">
      <c r="I1804" s="78"/>
    </row>
    <row r="1805" spans="9:9" x14ac:dyDescent="0.25">
      <c r="I1805" s="78"/>
    </row>
    <row r="1806" spans="9:9" x14ac:dyDescent="0.25">
      <c r="I1806" s="78"/>
    </row>
    <row r="1807" spans="9:9" x14ac:dyDescent="0.25">
      <c r="I1807" s="78"/>
    </row>
    <row r="1808" spans="9:9" x14ac:dyDescent="0.25">
      <c r="I1808" s="78"/>
    </row>
    <row r="1809" spans="9:9" x14ac:dyDescent="0.25">
      <c r="I1809" s="78"/>
    </row>
    <row r="1810" spans="9:9" x14ac:dyDescent="0.25">
      <c r="I1810" s="78"/>
    </row>
    <row r="1811" spans="9:9" x14ac:dyDescent="0.25">
      <c r="I1811" s="78"/>
    </row>
    <row r="1812" spans="9:9" x14ac:dyDescent="0.25">
      <c r="I1812" s="78"/>
    </row>
    <row r="1813" spans="9:9" x14ac:dyDescent="0.25">
      <c r="I1813" s="78"/>
    </row>
    <row r="1814" spans="9:9" x14ac:dyDescent="0.25">
      <c r="I1814" s="78"/>
    </row>
    <row r="1815" spans="9:9" x14ac:dyDescent="0.25">
      <c r="I1815" s="78"/>
    </row>
    <row r="1816" spans="9:9" x14ac:dyDescent="0.25">
      <c r="I1816" s="78"/>
    </row>
    <row r="1817" spans="9:9" x14ac:dyDescent="0.25">
      <c r="I1817" s="78"/>
    </row>
    <row r="1818" spans="9:9" x14ac:dyDescent="0.25">
      <c r="I1818" s="78"/>
    </row>
  </sheetData>
  <mergeCells count="4">
    <mergeCell ref="A1:J1"/>
    <mergeCell ref="K76:T76"/>
    <mergeCell ref="I204:J204"/>
    <mergeCell ref="K13:T13"/>
  </mergeCells>
  <conditionalFormatting sqref="I191:Y191">
    <cfRule type="cellIs" dxfId="15" priority="1" stopIfTrue="1" operator="greaterThan">
      <formula>15</formula>
    </cfRule>
  </conditionalFormatting>
  <printOptions horizontalCentered="1"/>
  <pageMargins left="0.31496062992125984" right="0.31496062992125984" top="0.74803149606299213" bottom="0.51181102362204722" header="0.51181102362204722" footer="0.51181102362204722"/>
  <pageSetup paperSize="9" scale="5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5"/>
  <sheetViews>
    <sheetView topLeftCell="A216" workbookViewId="0">
      <selection activeCell="AA234" sqref="AA233:AA234"/>
    </sheetView>
  </sheetViews>
  <sheetFormatPr defaultColWidth="11.44140625" defaultRowHeight="14.1" customHeight="1" x14ac:dyDescent="0.25"/>
  <cols>
    <col min="2" max="2" width="38.6640625" customWidth="1"/>
    <col min="6" max="6" width="16" customWidth="1"/>
    <col min="7" max="7" width="14.33203125" customWidth="1"/>
    <col min="8" max="25" width="0" hidden="1" customWidth="1"/>
  </cols>
  <sheetData>
    <row r="1" spans="1:25" ht="14.1" customHeight="1" x14ac:dyDescent="0.25">
      <c r="A1" s="864" t="s">
        <v>66</v>
      </c>
      <c r="B1" s="845"/>
      <c r="C1" s="845"/>
      <c r="D1" s="845"/>
      <c r="E1" s="845"/>
      <c r="F1" s="845"/>
      <c r="G1" s="846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50"/>
    </row>
    <row r="2" spans="1:25" ht="14.1" customHeight="1" x14ac:dyDescent="0.25">
      <c r="A2" s="438"/>
      <c r="B2" s="72"/>
      <c r="C2" s="72"/>
      <c r="D2" s="72"/>
      <c r="E2" s="72"/>
      <c r="F2" s="72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50"/>
    </row>
    <row r="3" spans="1:25" ht="14.1" customHeight="1" x14ac:dyDescent="0.25">
      <c r="A3" s="74" t="s">
        <v>10</v>
      </c>
      <c r="B3" s="35"/>
      <c r="C3" s="443"/>
      <c r="D3" s="444"/>
      <c r="E3" s="445"/>
      <c r="F3" s="641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751"/>
    </row>
    <row r="4" spans="1:25" ht="14.1" customHeight="1" x14ac:dyDescent="0.25">
      <c r="A4" s="74"/>
      <c r="B4" s="79" t="s">
        <v>25</v>
      </c>
      <c r="C4" s="682">
        <v>4.6699999999999997E-3</v>
      </c>
      <c r="D4" s="444"/>
      <c r="E4" s="445"/>
      <c r="F4" s="641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751"/>
    </row>
    <row r="5" spans="1:25" ht="14.1" customHeight="1" x14ac:dyDescent="0.25">
      <c r="A5" s="74"/>
      <c r="B5" s="82" t="s">
        <v>172</v>
      </c>
      <c r="C5" s="443"/>
      <c r="D5" s="444"/>
      <c r="E5" s="445"/>
      <c r="F5" s="641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751"/>
    </row>
    <row r="6" spans="1:25" ht="14.1" customHeight="1" x14ac:dyDescent="0.25">
      <c r="A6" s="74"/>
      <c r="B6" s="83" t="s">
        <v>840</v>
      </c>
      <c r="C6" s="443">
        <v>214.55</v>
      </c>
      <c r="D6" s="444"/>
      <c r="E6" s="445"/>
      <c r="F6" s="445">
        <f>C4*7100</f>
        <v>33.156999999999996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751"/>
    </row>
    <row r="7" spans="1:25" ht="14.1" customHeight="1" x14ac:dyDescent="0.25">
      <c r="A7" s="74" t="s">
        <v>23</v>
      </c>
      <c r="B7" s="35"/>
      <c r="C7" s="451"/>
      <c r="D7" s="444"/>
      <c r="E7" s="445"/>
      <c r="F7" s="44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751"/>
    </row>
    <row r="8" spans="1:25" ht="14.1" customHeight="1" x14ac:dyDescent="0.25">
      <c r="A8" s="74" t="s">
        <v>67</v>
      </c>
      <c r="B8" s="35"/>
      <c r="C8" s="83" t="s">
        <v>391</v>
      </c>
      <c r="D8" s="444"/>
      <c r="E8" s="445"/>
      <c r="F8" s="44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751"/>
    </row>
    <row r="9" spans="1:25" ht="14.1" customHeight="1" x14ac:dyDescent="0.25">
      <c r="A9" s="74" t="s">
        <v>68</v>
      </c>
      <c r="B9" s="35"/>
      <c r="C9" s="395" t="str">
        <f>Consolidated!C9</f>
        <v xml:space="preserve">Humanitarian Response for People Affected by the Syrian Conflict </v>
      </c>
      <c r="D9" s="444"/>
      <c r="E9" s="445"/>
      <c r="F9" s="44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751"/>
    </row>
    <row r="10" spans="1:25" ht="14.1" customHeight="1" x14ac:dyDescent="0.25">
      <c r="A10" s="74" t="s">
        <v>56</v>
      </c>
      <c r="B10" s="35"/>
      <c r="C10" s="443" t="str">
        <f>Consolidated!C10</f>
        <v>January 1st 2019-December 31st 2019</v>
      </c>
      <c r="D10" s="444"/>
      <c r="E10" s="445"/>
      <c r="F10" s="44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752" t="s">
        <v>841</v>
      </c>
    </row>
    <row r="11" spans="1:25" ht="14.1" hidden="1" customHeight="1" x14ac:dyDescent="0.25">
      <c r="A11" s="74"/>
      <c r="B11" s="74"/>
      <c r="C11" s="453"/>
      <c r="D11" s="454"/>
      <c r="E11" s="438"/>
      <c r="F11" s="455" t="s">
        <v>69</v>
      </c>
      <c r="G11" s="455" t="s">
        <v>69</v>
      </c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753"/>
    </row>
    <row r="12" spans="1:25" ht="14.1" hidden="1" customHeight="1" x14ac:dyDescent="0.25">
      <c r="A12" s="74"/>
      <c r="B12" s="74"/>
      <c r="C12" s="453"/>
      <c r="D12" s="454"/>
      <c r="E12" s="438"/>
      <c r="F12" s="455" t="s">
        <v>5</v>
      </c>
      <c r="G12" s="455" t="s">
        <v>5</v>
      </c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753"/>
    </row>
    <row r="13" spans="1:25" ht="14.1" hidden="1" customHeight="1" x14ac:dyDescent="0.25">
      <c r="A13" s="89" t="s">
        <v>47</v>
      </c>
      <c r="B13" s="35"/>
      <c r="C13" s="453"/>
      <c r="D13" s="454"/>
      <c r="E13" s="458"/>
      <c r="F13" s="458" t="s">
        <v>20</v>
      </c>
      <c r="G13" s="91" t="s">
        <v>4</v>
      </c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754"/>
    </row>
    <row r="14" spans="1:25" ht="14.1" hidden="1" customHeight="1" x14ac:dyDescent="0.25">
      <c r="A14" s="92"/>
      <c r="B14" s="93"/>
      <c r="C14" s="462"/>
      <c r="D14" s="463"/>
      <c r="E14" s="464"/>
      <c r="F14" s="464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755"/>
    </row>
    <row r="15" spans="1:25" ht="14.1" hidden="1" customHeight="1" x14ac:dyDescent="0.25">
      <c r="A15" s="98"/>
      <c r="B15" s="1"/>
      <c r="C15" s="468"/>
      <c r="D15" s="469"/>
      <c r="E15" s="470"/>
      <c r="F15" s="470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756"/>
    </row>
    <row r="16" spans="1:25" ht="14.1" hidden="1" customHeight="1" x14ac:dyDescent="0.25">
      <c r="A16" s="103" t="s">
        <v>21</v>
      </c>
      <c r="B16" s="39"/>
      <c r="C16" s="474"/>
      <c r="D16" s="475"/>
      <c r="E16" s="476"/>
      <c r="F16" s="643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751"/>
    </row>
    <row r="17" spans="1:25" ht="14.1" hidden="1" customHeight="1" x14ac:dyDescent="0.25">
      <c r="A17" s="103" t="s">
        <v>32</v>
      </c>
      <c r="B17" s="108" t="s">
        <v>33</v>
      </c>
      <c r="C17" s="103" t="s">
        <v>174</v>
      </c>
      <c r="D17" s="103" t="s">
        <v>65</v>
      </c>
      <c r="E17" s="476"/>
      <c r="F17" s="643"/>
      <c r="G17" s="644"/>
      <c r="H17" s="644"/>
      <c r="I17" s="644"/>
      <c r="J17" s="644"/>
      <c r="K17" s="644"/>
      <c r="L17" s="644"/>
      <c r="M17" s="644"/>
      <c r="N17" s="644"/>
      <c r="O17" s="644"/>
      <c r="P17" s="644"/>
      <c r="Q17" s="644"/>
      <c r="R17" s="644"/>
      <c r="S17" s="644"/>
      <c r="T17" s="644"/>
      <c r="U17" s="644"/>
      <c r="V17" s="644"/>
      <c r="W17" s="644"/>
      <c r="X17" s="644"/>
      <c r="Y17" s="757"/>
    </row>
    <row r="18" spans="1:25" ht="14.1" hidden="1" customHeight="1" x14ac:dyDescent="0.25">
      <c r="A18" s="109"/>
      <c r="B18" s="110"/>
      <c r="C18" s="644" t="s">
        <v>175</v>
      </c>
      <c r="D18" s="483"/>
      <c r="E18" s="476"/>
      <c r="F18" s="484">
        <v>0</v>
      </c>
      <c r="G18" s="644">
        <f>F18*C4</f>
        <v>0</v>
      </c>
      <c r="H18" s="644"/>
      <c r="I18" s="644"/>
      <c r="J18" s="644"/>
      <c r="K18" s="644"/>
      <c r="L18" s="644"/>
      <c r="M18" s="644"/>
      <c r="N18" s="644"/>
      <c r="O18" s="644"/>
      <c r="P18" s="644"/>
      <c r="Q18" s="644"/>
      <c r="R18" s="644"/>
      <c r="S18" s="644"/>
      <c r="T18" s="644"/>
      <c r="U18" s="644"/>
      <c r="V18" s="644"/>
      <c r="W18" s="644"/>
      <c r="X18" s="644"/>
      <c r="Y18" s="757"/>
    </row>
    <row r="19" spans="1:25" ht="14.1" hidden="1" customHeight="1" x14ac:dyDescent="0.25">
      <c r="A19" s="109"/>
      <c r="B19" s="110"/>
      <c r="C19" s="644" t="s">
        <v>176</v>
      </c>
      <c r="D19" s="483"/>
      <c r="E19" s="476"/>
      <c r="F19" s="484">
        <v>0</v>
      </c>
      <c r="G19" s="644">
        <f>F19*C4</f>
        <v>0</v>
      </c>
      <c r="H19" s="644"/>
      <c r="I19" s="644"/>
      <c r="J19" s="644"/>
      <c r="K19" s="644"/>
      <c r="L19" s="644"/>
      <c r="M19" s="644"/>
      <c r="N19" s="644"/>
      <c r="O19" s="644"/>
      <c r="P19" s="644"/>
      <c r="Q19" s="644"/>
      <c r="R19" s="644"/>
      <c r="S19" s="644"/>
      <c r="T19" s="644"/>
      <c r="U19" s="644"/>
      <c r="V19" s="644"/>
      <c r="W19" s="644"/>
      <c r="X19" s="644"/>
      <c r="Y19" s="757"/>
    </row>
    <row r="20" spans="1:25" ht="14.1" hidden="1" customHeight="1" x14ac:dyDescent="0.25">
      <c r="A20" s="109"/>
      <c r="B20" s="110"/>
      <c r="C20" s="644" t="s">
        <v>177</v>
      </c>
      <c r="D20" s="483"/>
      <c r="E20" s="476"/>
      <c r="F20" s="484">
        <v>0</v>
      </c>
      <c r="G20" s="644">
        <f>F20*C4</f>
        <v>0</v>
      </c>
      <c r="H20" s="644"/>
      <c r="I20" s="644"/>
      <c r="J20" s="644"/>
      <c r="K20" s="644"/>
      <c r="L20" s="644"/>
      <c r="M20" s="644"/>
      <c r="N20" s="644"/>
      <c r="O20" s="644"/>
      <c r="P20" s="644"/>
      <c r="Q20" s="644"/>
      <c r="R20" s="644"/>
      <c r="S20" s="644"/>
      <c r="T20" s="644"/>
      <c r="U20" s="644"/>
      <c r="V20" s="644"/>
      <c r="W20" s="644"/>
      <c r="X20" s="644"/>
      <c r="Y20" s="757"/>
    </row>
    <row r="21" spans="1:25" ht="14.1" hidden="1" customHeight="1" x14ac:dyDescent="0.25">
      <c r="A21" s="109"/>
      <c r="B21" s="110"/>
      <c r="C21" s="644" t="s">
        <v>178</v>
      </c>
      <c r="D21" s="483"/>
      <c r="E21" s="476"/>
      <c r="F21" s="484">
        <v>0</v>
      </c>
      <c r="G21" s="644">
        <f>F21*C4</f>
        <v>0</v>
      </c>
      <c r="H21" s="644"/>
      <c r="I21" s="644"/>
      <c r="J21" s="644"/>
      <c r="K21" s="644"/>
      <c r="L21" s="644"/>
      <c r="M21" s="644"/>
      <c r="N21" s="644"/>
      <c r="O21" s="644"/>
      <c r="P21" s="644"/>
      <c r="Q21" s="644"/>
      <c r="R21" s="644"/>
      <c r="S21" s="644"/>
      <c r="T21" s="644"/>
      <c r="U21" s="644"/>
      <c r="V21" s="644"/>
      <c r="W21" s="644"/>
      <c r="X21" s="644"/>
      <c r="Y21" s="757"/>
    </row>
    <row r="22" spans="1:25" ht="14.1" hidden="1" customHeight="1" x14ac:dyDescent="0.25">
      <c r="A22" s="109"/>
      <c r="B22" s="110"/>
      <c r="C22" s="644" t="s">
        <v>179</v>
      </c>
      <c r="D22" s="483"/>
      <c r="E22" s="476"/>
      <c r="F22" s="484">
        <v>0</v>
      </c>
      <c r="G22" s="644">
        <f>F22*C4</f>
        <v>0</v>
      </c>
      <c r="H22" s="644"/>
      <c r="I22" s="644"/>
      <c r="J22" s="644"/>
      <c r="K22" s="644"/>
      <c r="L22" s="644"/>
      <c r="M22" s="644"/>
      <c r="N22" s="644"/>
      <c r="O22" s="644"/>
      <c r="P22" s="644"/>
      <c r="Q22" s="644"/>
      <c r="R22" s="644"/>
      <c r="S22" s="644"/>
      <c r="T22" s="644"/>
      <c r="U22" s="644"/>
      <c r="V22" s="644"/>
      <c r="W22" s="644"/>
      <c r="X22" s="644"/>
      <c r="Y22" s="757"/>
    </row>
    <row r="23" spans="1:25" ht="14.1" hidden="1" customHeight="1" x14ac:dyDescent="0.25">
      <c r="A23" s="109"/>
      <c r="B23" s="110"/>
      <c r="C23" s="644" t="s">
        <v>180</v>
      </c>
      <c r="D23" s="483"/>
      <c r="E23" s="476"/>
      <c r="F23" s="484">
        <v>0</v>
      </c>
      <c r="G23" s="644">
        <f>F23*C4</f>
        <v>0</v>
      </c>
      <c r="H23" s="644"/>
      <c r="I23" s="644"/>
      <c r="J23" s="644"/>
      <c r="K23" s="644"/>
      <c r="L23" s="644"/>
      <c r="M23" s="644"/>
      <c r="N23" s="644"/>
      <c r="O23" s="644"/>
      <c r="P23" s="644"/>
      <c r="Q23" s="644"/>
      <c r="R23" s="644"/>
      <c r="S23" s="644"/>
      <c r="T23" s="644"/>
      <c r="U23" s="644"/>
      <c r="V23" s="644"/>
      <c r="W23" s="644"/>
      <c r="X23" s="644"/>
      <c r="Y23" s="757"/>
    </row>
    <row r="24" spans="1:25" ht="14.1" hidden="1" customHeight="1" x14ac:dyDescent="0.25">
      <c r="A24" s="109"/>
      <c r="B24" s="110"/>
      <c r="C24" s="644" t="s">
        <v>181</v>
      </c>
      <c r="D24" s="483"/>
      <c r="E24" s="476"/>
      <c r="F24" s="484">
        <v>0</v>
      </c>
      <c r="G24" s="644">
        <f>F24*C4</f>
        <v>0</v>
      </c>
      <c r="H24" s="644"/>
      <c r="I24" s="644"/>
      <c r="J24" s="644"/>
      <c r="K24" s="644"/>
      <c r="L24" s="644"/>
      <c r="M24" s="644"/>
      <c r="N24" s="644"/>
      <c r="O24" s="644"/>
      <c r="P24" s="644"/>
      <c r="Q24" s="644"/>
      <c r="R24" s="644"/>
      <c r="S24" s="644"/>
      <c r="T24" s="644"/>
      <c r="U24" s="644"/>
      <c r="V24" s="644"/>
      <c r="W24" s="644"/>
      <c r="X24" s="644"/>
      <c r="Y24" s="757"/>
    </row>
    <row r="25" spans="1:25" ht="14.1" hidden="1" customHeight="1" x14ac:dyDescent="0.25">
      <c r="A25" s="109"/>
      <c r="B25" s="110"/>
      <c r="C25" s="644" t="s">
        <v>182</v>
      </c>
      <c r="D25" s="483"/>
      <c r="E25" s="476"/>
      <c r="F25" s="484">
        <v>0</v>
      </c>
      <c r="G25" s="644">
        <f>F25*C4</f>
        <v>0</v>
      </c>
      <c r="H25" s="644"/>
      <c r="I25" s="644"/>
      <c r="J25" s="644"/>
      <c r="K25" s="644"/>
      <c r="L25" s="644"/>
      <c r="M25" s="644"/>
      <c r="N25" s="644"/>
      <c r="O25" s="644"/>
      <c r="P25" s="644"/>
      <c r="Q25" s="644"/>
      <c r="R25" s="644"/>
      <c r="S25" s="644"/>
      <c r="T25" s="644"/>
      <c r="U25" s="644"/>
      <c r="V25" s="644"/>
      <c r="W25" s="644"/>
      <c r="X25" s="644"/>
      <c r="Y25" s="757"/>
    </row>
    <row r="26" spans="1:25" ht="14.1" hidden="1" customHeight="1" x14ac:dyDescent="0.25">
      <c r="A26" s="109"/>
      <c r="B26" s="110"/>
      <c r="C26" s="644" t="s">
        <v>183</v>
      </c>
      <c r="D26" s="483"/>
      <c r="E26" s="476"/>
      <c r="F26" s="484">
        <v>0</v>
      </c>
      <c r="G26" s="644">
        <f>F26*C4</f>
        <v>0</v>
      </c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757"/>
    </row>
    <row r="27" spans="1:25" ht="14.1" hidden="1" customHeight="1" x14ac:dyDescent="0.25">
      <c r="A27" s="109"/>
      <c r="B27" s="110"/>
      <c r="C27" s="644" t="s">
        <v>184</v>
      </c>
      <c r="D27" s="483"/>
      <c r="E27" s="476"/>
      <c r="F27" s="484">
        <v>0</v>
      </c>
      <c r="G27" s="644">
        <f>F27*C4</f>
        <v>0</v>
      </c>
      <c r="H27" s="644"/>
      <c r="I27" s="644"/>
      <c r="J27" s="644"/>
      <c r="K27" s="644"/>
      <c r="L27" s="644"/>
      <c r="M27" s="644"/>
      <c r="N27" s="644"/>
      <c r="O27" s="644"/>
      <c r="P27" s="644"/>
      <c r="Q27" s="644"/>
      <c r="R27" s="644"/>
      <c r="S27" s="644"/>
      <c r="T27" s="644"/>
      <c r="U27" s="644"/>
      <c r="V27" s="644"/>
      <c r="W27" s="644"/>
      <c r="X27" s="644"/>
      <c r="Y27" s="757"/>
    </row>
    <row r="28" spans="1:25" ht="14.1" hidden="1" customHeight="1" x14ac:dyDescent="0.25">
      <c r="A28" s="103"/>
      <c r="B28" s="108" t="s">
        <v>173</v>
      </c>
      <c r="C28" s="474"/>
      <c r="D28" s="475"/>
      <c r="E28" s="476"/>
      <c r="F28" s="644">
        <f>SUM(F18:F27)</f>
        <v>0</v>
      </c>
      <c r="G28" s="644">
        <f>SUM(G18:G27)</f>
        <v>0</v>
      </c>
      <c r="H28" s="644"/>
      <c r="I28" s="644"/>
      <c r="J28" s="644"/>
      <c r="K28" s="644"/>
      <c r="L28" s="644"/>
      <c r="M28" s="644"/>
      <c r="N28" s="644"/>
      <c r="O28" s="644"/>
      <c r="P28" s="644"/>
      <c r="Q28" s="644"/>
      <c r="R28" s="644"/>
      <c r="S28" s="644"/>
      <c r="T28" s="644"/>
      <c r="U28" s="644"/>
      <c r="V28" s="644"/>
      <c r="W28" s="644"/>
      <c r="X28" s="644"/>
      <c r="Y28" s="757"/>
    </row>
    <row r="29" spans="1:25" ht="14.1" hidden="1" customHeight="1" x14ac:dyDescent="0.25">
      <c r="A29" s="103"/>
      <c r="B29" s="113"/>
      <c r="C29" s="474"/>
      <c r="D29" s="475"/>
      <c r="E29" s="476"/>
      <c r="F29" s="643"/>
      <c r="G29" s="644"/>
      <c r="H29" s="644"/>
      <c r="I29" s="644"/>
      <c r="J29" s="644"/>
      <c r="K29" s="644"/>
      <c r="L29" s="644"/>
      <c r="M29" s="644"/>
      <c r="N29" s="644"/>
      <c r="O29" s="644"/>
      <c r="P29" s="644"/>
      <c r="Q29" s="644"/>
      <c r="R29" s="644"/>
      <c r="S29" s="644"/>
      <c r="T29" s="644"/>
      <c r="U29" s="644"/>
      <c r="V29" s="644"/>
      <c r="W29" s="644"/>
      <c r="X29" s="644"/>
      <c r="Y29" s="757"/>
    </row>
    <row r="30" spans="1:25" ht="14.1" hidden="1" customHeight="1" x14ac:dyDescent="0.25">
      <c r="A30" s="103" t="s">
        <v>34</v>
      </c>
      <c r="B30" s="39"/>
      <c r="C30" s="474"/>
      <c r="D30" s="475"/>
      <c r="E30" s="476"/>
      <c r="F30" s="643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757"/>
    </row>
    <row r="31" spans="1:25" ht="14.1" hidden="1" customHeight="1" x14ac:dyDescent="0.25">
      <c r="A31" s="103" t="s">
        <v>32</v>
      </c>
      <c r="B31" s="108" t="s">
        <v>33</v>
      </c>
      <c r="C31" s="474" t="s">
        <v>174</v>
      </c>
      <c r="D31" s="475"/>
      <c r="E31" s="476"/>
      <c r="F31" s="643"/>
      <c r="G31" s="644"/>
      <c r="H31" s="644"/>
      <c r="I31" s="644"/>
      <c r="J31" s="644"/>
      <c r="K31" s="644"/>
      <c r="L31" s="644"/>
      <c r="M31" s="644"/>
      <c r="N31" s="644"/>
      <c r="O31" s="644"/>
      <c r="P31" s="644"/>
      <c r="Q31" s="644"/>
      <c r="R31" s="644"/>
      <c r="S31" s="644"/>
      <c r="T31" s="644"/>
      <c r="U31" s="644"/>
      <c r="V31" s="644"/>
      <c r="W31" s="644"/>
      <c r="X31" s="644"/>
      <c r="Y31" s="757"/>
    </row>
    <row r="32" spans="1:25" ht="14.1" hidden="1" customHeight="1" x14ac:dyDescent="0.25">
      <c r="A32" s="114"/>
      <c r="B32" s="110"/>
      <c r="C32" s="488"/>
      <c r="D32" s="475"/>
      <c r="E32" s="476"/>
      <c r="F32" s="484">
        <v>0</v>
      </c>
      <c r="G32" s="644">
        <f>(C4)*F32</f>
        <v>0</v>
      </c>
      <c r="H32" s="644"/>
      <c r="I32" s="644"/>
      <c r="J32" s="644"/>
      <c r="K32" s="644"/>
      <c r="L32" s="644"/>
      <c r="M32" s="644"/>
      <c r="N32" s="644"/>
      <c r="O32" s="644"/>
      <c r="P32" s="644"/>
      <c r="Q32" s="644"/>
      <c r="R32" s="644"/>
      <c r="S32" s="644"/>
      <c r="T32" s="644"/>
      <c r="U32" s="644"/>
      <c r="V32" s="644"/>
      <c r="W32" s="644"/>
      <c r="X32" s="644"/>
      <c r="Y32" s="757"/>
    </row>
    <row r="33" spans="1:25" ht="14.1" hidden="1" customHeight="1" x14ac:dyDescent="0.25">
      <c r="A33" s="114"/>
      <c r="B33" s="110"/>
      <c r="C33" s="488"/>
      <c r="D33" s="475"/>
      <c r="E33" s="476"/>
      <c r="F33" s="484">
        <v>0</v>
      </c>
      <c r="G33" s="644">
        <f>F33*C4</f>
        <v>0</v>
      </c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44"/>
      <c r="X33" s="644"/>
      <c r="Y33" s="757"/>
    </row>
    <row r="34" spans="1:25" ht="14.1" hidden="1" customHeight="1" x14ac:dyDescent="0.25">
      <c r="A34" s="114"/>
      <c r="B34" s="110"/>
      <c r="C34" s="488"/>
      <c r="D34" s="475"/>
      <c r="E34" s="476"/>
      <c r="F34" s="484">
        <v>0</v>
      </c>
      <c r="G34" s="644">
        <f>F34*C4</f>
        <v>0</v>
      </c>
      <c r="H34" s="644"/>
      <c r="I34" s="644"/>
      <c r="J34" s="644"/>
      <c r="K34" s="644"/>
      <c r="L34" s="644"/>
      <c r="M34" s="644"/>
      <c r="N34" s="644"/>
      <c r="O34" s="644"/>
      <c r="P34" s="644"/>
      <c r="Q34" s="644"/>
      <c r="R34" s="644"/>
      <c r="S34" s="644"/>
      <c r="T34" s="644"/>
      <c r="U34" s="644"/>
      <c r="V34" s="644"/>
      <c r="W34" s="644"/>
      <c r="X34" s="644"/>
      <c r="Y34" s="757"/>
    </row>
    <row r="35" spans="1:25" ht="14.1" hidden="1" customHeight="1" x14ac:dyDescent="0.25">
      <c r="A35" s="114"/>
      <c r="B35" s="110"/>
      <c r="C35" s="488"/>
      <c r="D35" s="475"/>
      <c r="E35" s="476"/>
      <c r="F35" s="484">
        <v>0</v>
      </c>
      <c r="G35" s="644">
        <f>F35*C4</f>
        <v>0</v>
      </c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757"/>
    </row>
    <row r="36" spans="1:25" ht="14.1" hidden="1" customHeight="1" x14ac:dyDescent="0.25">
      <c r="A36" s="114"/>
      <c r="B36" s="110"/>
      <c r="C36" s="488"/>
      <c r="D36" s="475"/>
      <c r="E36" s="476"/>
      <c r="F36" s="484">
        <v>0</v>
      </c>
      <c r="G36" s="644">
        <f>F36*C4</f>
        <v>0</v>
      </c>
      <c r="H36" s="644"/>
      <c r="I36" s="644"/>
      <c r="J36" s="644"/>
      <c r="K36" s="644"/>
      <c r="L36" s="644"/>
      <c r="M36" s="644"/>
      <c r="N36" s="644"/>
      <c r="O36" s="644"/>
      <c r="P36" s="644"/>
      <c r="Q36" s="644"/>
      <c r="R36" s="644"/>
      <c r="S36" s="644"/>
      <c r="T36" s="644"/>
      <c r="U36" s="644"/>
      <c r="V36" s="644"/>
      <c r="W36" s="644"/>
      <c r="X36" s="644"/>
      <c r="Y36" s="757"/>
    </row>
    <row r="37" spans="1:25" ht="14.1" hidden="1" customHeight="1" x14ac:dyDescent="0.25">
      <c r="A37" s="114"/>
      <c r="B37" s="110"/>
      <c r="C37" s="488"/>
      <c r="D37" s="475"/>
      <c r="E37" s="476"/>
      <c r="F37" s="484">
        <v>0</v>
      </c>
      <c r="G37" s="644">
        <f>F37*C4</f>
        <v>0</v>
      </c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757"/>
    </row>
    <row r="38" spans="1:25" ht="14.1" hidden="1" customHeight="1" x14ac:dyDescent="0.25">
      <c r="A38" s="114"/>
      <c r="B38" s="110"/>
      <c r="C38" s="488"/>
      <c r="D38" s="475"/>
      <c r="E38" s="476"/>
      <c r="F38" s="484">
        <v>0</v>
      </c>
      <c r="G38" s="644">
        <f>F38*C4</f>
        <v>0</v>
      </c>
      <c r="H38" s="644"/>
      <c r="I38" s="644"/>
      <c r="J38" s="644"/>
      <c r="K38" s="644"/>
      <c r="L38" s="644"/>
      <c r="M38" s="644"/>
      <c r="N38" s="644"/>
      <c r="O38" s="644"/>
      <c r="P38" s="644"/>
      <c r="Q38" s="644"/>
      <c r="R38" s="644"/>
      <c r="S38" s="644"/>
      <c r="T38" s="644"/>
      <c r="U38" s="644"/>
      <c r="V38" s="644"/>
      <c r="W38" s="644"/>
      <c r="X38" s="644"/>
      <c r="Y38" s="757"/>
    </row>
    <row r="39" spans="1:25" ht="14.1" hidden="1" customHeight="1" x14ac:dyDescent="0.25">
      <c r="A39" s="114"/>
      <c r="B39" s="110"/>
      <c r="C39" s="488"/>
      <c r="D39" s="475"/>
      <c r="E39" s="476"/>
      <c r="F39" s="484">
        <v>0</v>
      </c>
      <c r="G39" s="644">
        <f>F39*C4</f>
        <v>0</v>
      </c>
      <c r="H39" s="644"/>
      <c r="I39" s="644"/>
      <c r="J39" s="644"/>
      <c r="K39" s="644"/>
      <c r="L39" s="644"/>
      <c r="M39" s="644"/>
      <c r="N39" s="644"/>
      <c r="O39" s="644"/>
      <c r="P39" s="644"/>
      <c r="Q39" s="644"/>
      <c r="R39" s="644"/>
      <c r="S39" s="644"/>
      <c r="T39" s="644"/>
      <c r="U39" s="644"/>
      <c r="V39" s="644"/>
      <c r="W39" s="644"/>
      <c r="X39" s="644"/>
      <c r="Y39" s="757"/>
    </row>
    <row r="40" spans="1:25" ht="14.1" hidden="1" customHeight="1" x14ac:dyDescent="0.25">
      <c r="A40" s="114"/>
      <c r="B40" s="110"/>
      <c r="C40" s="488"/>
      <c r="D40" s="475"/>
      <c r="E40" s="476"/>
      <c r="F40" s="484">
        <v>0</v>
      </c>
      <c r="G40" s="644">
        <f>F40*C4</f>
        <v>0</v>
      </c>
      <c r="H40" s="644"/>
      <c r="I40" s="644"/>
      <c r="J40" s="644"/>
      <c r="K40" s="644"/>
      <c r="L40" s="644"/>
      <c r="M40" s="644"/>
      <c r="N40" s="644"/>
      <c r="O40" s="644"/>
      <c r="P40" s="644"/>
      <c r="Q40" s="644"/>
      <c r="R40" s="644"/>
      <c r="S40" s="644"/>
      <c r="T40" s="644"/>
      <c r="U40" s="644"/>
      <c r="V40" s="644"/>
      <c r="W40" s="644"/>
      <c r="X40" s="644"/>
      <c r="Y40" s="757"/>
    </row>
    <row r="41" spans="1:25" ht="14.1" hidden="1" customHeight="1" x14ac:dyDescent="0.25">
      <c r="A41" s="114"/>
      <c r="B41" s="110"/>
      <c r="C41" s="488"/>
      <c r="D41" s="475"/>
      <c r="E41" s="476"/>
      <c r="F41" s="484">
        <v>0</v>
      </c>
      <c r="G41" s="644">
        <f>F41*C4</f>
        <v>0</v>
      </c>
      <c r="H41" s="644"/>
      <c r="I41" s="644"/>
      <c r="J41" s="644"/>
      <c r="K41" s="644"/>
      <c r="L41" s="644"/>
      <c r="M41" s="644"/>
      <c r="N41" s="644"/>
      <c r="O41" s="644"/>
      <c r="P41" s="644"/>
      <c r="Q41" s="644"/>
      <c r="R41" s="644"/>
      <c r="S41" s="644"/>
      <c r="T41" s="644"/>
      <c r="U41" s="644"/>
      <c r="V41" s="644"/>
      <c r="W41" s="644"/>
      <c r="X41" s="644"/>
      <c r="Y41" s="757"/>
    </row>
    <row r="42" spans="1:25" ht="14.1" hidden="1" customHeight="1" x14ac:dyDescent="0.25">
      <c r="A42" s="103"/>
      <c r="B42" s="108" t="s">
        <v>173</v>
      </c>
      <c r="C42" s="474"/>
      <c r="D42" s="475"/>
      <c r="E42" s="476"/>
      <c r="F42" s="644">
        <f>SUM(F32:F41)</f>
        <v>0</v>
      </c>
      <c r="G42" s="644">
        <f>SUM(G32:G41)</f>
        <v>0</v>
      </c>
      <c r="H42" s="644"/>
      <c r="I42" s="644"/>
      <c r="J42" s="644"/>
      <c r="K42" s="644"/>
      <c r="L42" s="644"/>
      <c r="M42" s="644"/>
      <c r="N42" s="644"/>
      <c r="O42" s="644"/>
      <c r="P42" s="644"/>
      <c r="Q42" s="644"/>
      <c r="R42" s="644"/>
      <c r="S42" s="644"/>
      <c r="T42" s="644"/>
      <c r="U42" s="644"/>
      <c r="V42" s="644"/>
      <c r="W42" s="644"/>
      <c r="X42" s="644"/>
      <c r="Y42" s="757"/>
    </row>
    <row r="43" spans="1:25" ht="14.1" hidden="1" customHeight="1" x14ac:dyDescent="0.25">
      <c r="A43" s="103"/>
      <c r="B43" s="103" t="s">
        <v>64</v>
      </c>
      <c r="C43" s="474"/>
      <c r="D43" s="475"/>
      <c r="E43" s="476"/>
      <c r="F43" s="645">
        <v>0</v>
      </c>
      <c r="G43" s="644">
        <f>F43*C4</f>
        <v>0</v>
      </c>
      <c r="H43" s="644"/>
      <c r="I43" s="644"/>
      <c r="J43" s="644"/>
      <c r="K43" s="644"/>
      <c r="L43" s="644"/>
      <c r="M43" s="644"/>
      <c r="N43" s="644"/>
      <c r="O43" s="644"/>
      <c r="P43" s="644"/>
      <c r="Q43" s="644"/>
      <c r="R43" s="644"/>
      <c r="S43" s="644"/>
      <c r="T43" s="644"/>
      <c r="U43" s="644"/>
      <c r="V43" s="644"/>
      <c r="W43" s="644"/>
      <c r="X43" s="644"/>
      <c r="Y43" s="757"/>
    </row>
    <row r="44" spans="1:25" ht="14.1" hidden="1" customHeight="1" x14ac:dyDescent="0.25">
      <c r="A44" s="103"/>
      <c r="B44" s="39"/>
      <c r="C44" s="474"/>
      <c r="D44" s="475"/>
      <c r="E44" s="476"/>
      <c r="F44" s="644"/>
      <c r="G44" s="644"/>
      <c r="H44" s="644"/>
      <c r="I44" s="644"/>
      <c r="J44" s="644"/>
      <c r="K44" s="644"/>
      <c r="L44" s="644"/>
      <c r="M44" s="644"/>
      <c r="N44" s="644"/>
      <c r="O44" s="644"/>
      <c r="P44" s="644"/>
      <c r="Q44" s="644"/>
      <c r="R44" s="644"/>
      <c r="S44" s="644"/>
      <c r="T44" s="644"/>
      <c r="U44" s="644"/>
      <c r="V44" s="644"/>
      <c r="W44" s="644"/>
      <c r="X44" s="644"/>
      <c r="Y44" s="757"/>
    </row>
    <row r="45" spans="1:25" ht="14.1" hidden="1" customHeight="1" x14ac:dyDescent="0.25">
      <c r="A45" s="103" t="s">
        <v>35</v>
      </c>
      <c r="B45" s="39"/>
      <c r="C45" s="474"/>
      <c r="D45" s="475"/>
      <c r="E45" s="476"/>
      <c r="F45" s="643"/>
      <c r="G45" s="644"/>
      <c r="H45" s="644"/>
      <c r="I45" s="644"/>
      <c r="J45" s="644"/>
      <c r="K45" s="644"/>
      <c r="L45" s="644"/>
      <c r="M45" s="644"/>
      <c r="N45" s="644"/>
      <c r="O45" s="644"/>
      <c r="P45" s="644"/>
      <c r="Q45" s="644"/>
      <c r="R45" s="644"/>
      <c r="S45" s="644"/>
      <c r="T45" s="644"/>
      <c r="U45" s="644"/>
      <c r="V45" s="644"/>
      <c r="W45" s="644"/>
      <c r="X45" s="644"/>
      <c r="Y45" s="757"/>
    </row>
    <row r="46" spans="1:25" ht="14.1" hidden="1" customHeight="1" x14ac:dyDescent="0.25">
      <c r="A46" s="103" t="s">
        <v>32</v>
      </c>
      <c r="B46" s="108" t="s">
        <v>33</v>
      </c>
      <c r="C46" s="474" t="s">
        <v>174</v>
      </c>
      <c r="D46" s="475"/>
      <c r="E46" s="476"/>
      <c r="F46" s="643"/>
      <c r="G46" s="644"/>
      <c r="H46" s="644"/>
      <c r="I46" s="644"/>
      <c r="J46" s="644"/>
      <c r="K46" s="644"/>
      <c r="L46" s="644"/>
      <c r="M46" s="644"/>
      <c r="N46" s="644"/>
      <c r="O46" s="644"/>
      <c r="P46" s="644"/>
      <c r="Q46" s="644"/>
      <c r="R46" s="644"/>
      <c r="S46" s="644"/>
      <c r="T46" s="644"/>
      <c r="U46" s="644"/>
      <c r="V46" s="644"/>
      <c r="W46" s="644"/>
      <c r="X46" s="644"/>
      <c r="Y46" s="757"/>
    </row>
    <row r="47" spans="1:25" ht="14.1" hidden="1" customHeight="1" x14ac:dyDescent="0.25">
      <c r="A47" s="114"/>
      <c r="B47" s="110"/>
      <c r="C47" s="488"/>
      <c r="D47" s="475"/>
      <c r="E47" s="476"/>
      <c r="F47" s="484">
        <v>0</v>
      </c>
      <c r="G47" s="644">
        <f>F47*C4</f>
        <v>0</v>
      </c>
      <c r="H47" s="644"/>
      <c r="I47" s="644"/>
      <c r="J47" s="644"/>
      <c r="K47" s="644"/>
      <c r="L47" s="644"/>
      <c r="M47" s="644"/>
      <c r="N47" s="644"/>
      <c r="O47" s="644"/>
      <c r="P47" s="644"/>
      <c r="Q47" s="644"/>
      <c r="R47" s="644"/>
      <c r="S47" s="644"/>
      <c r="T47" s="644"/>
      <c r="U47" s="644"/>
      <c r="V47" s="644"/>
      <c r="W47" s="644"/>
      <c r="X47" s="644"/>
      <c r="Y47" s="757"/>
    </row>
    <row r="48" spans="1:25" ht="14.1" hidden="1" customHeight="1" x14ac:dyDescent="0.25">
      <c r="A48" s="114"/>
      <c r="B48" s="110"/>
      <c r="C48" s="488"/>
      <c r="D48" s="475"/>
      <c r="E48" s="476"/>
      <c r="F48" s="484">
        <v>0</v>
      </c>
      <c r="G48" s="644">
        <f>F48*C4</f>
        <v>0</v>
      </c>
      <c r="H48" s="644"/>
      <c r="I48" s="644"/>
      <c r="J48" s="644"/>
      <c r="K48" s="644"/>
      <c r="L48" s="644"/>
      <c r="M48" s="644"/>
      <c r="N48" s="644"/>
      <c r="O48" s="644"/>
      <c r="P48" s="644"/>
      <c r="Q48" s="644"/>
      <c r="R48" s="644"/>
      <c r="S48" s="644"/>
      <c r="T48" s="644"/>
      <c r="U48" s="644"/>
      <c r="V48" s="644"/>
      <c r="W48" s="644"/>
      <c r="X48" s="644"/>
      <c r="Y48" s="757"/>
    </row>
    <row r="49" spans="1:25" ht="14.1" hidden="1" customHeight="1" x14ac:dyDescent="0.25">
      <c r="A49" s="114"/>
      <c r="B49" s="110"/>
      <c r="C49" s="488"/>
      <c r="D49" s="475"/>
      <c r="E49" s="476"/>
      <c r="F49" s="484">
        <v>0</v>
      </c>
      <c r="G49" s="644">
        <f>F49*C4</f>
        <v>0</v>
      </c>
      <c r="H49" s="644"/>
      <c r="I49" s="644"/>
      <c r="J49" s="644"/>
      <c r="K49" s="644"/>
      <c r="L49" s="644"/>
      <c r="M49" s="644"/>
      <c r="N49" s="644"/>
      <c r="O49" s="644"/>
      <c r="P49" s="644"/>
      <c r="Q49" s="644"/>
      <c r="R49" s="644"/>
      <c r="S49" s="644"/>
      <c r="T49" s="644"/>
      <c r="U49" s="644"/>
      <c r="V49" s="644"/>
      <c r="W49" s="644"/>
      <c r="X49" s="644"/>
      <c r="Y49" s="757"/>
    </row>
    <row r="50" spans="1:25" ht="14.1" hidden="1" customHeight="1" x14ac:dyDescent="0.25">
      <c r="A50" s="114"/>
      <c r="B50" s="110"/>
      <c r="C50" s="488"/>
      <c r="D50" s="475"/>
      <c r="E50" s="476"/>
      <c r="F50" s="484">
        <v>0</v>
      </c>
      <c r="G50" s="644">
        <f>F50*C4</f>
        <v>0</v>
      </c>
      <c r="H50" s="644"/>
      <c r="I50" s="644"/>
      <c r="J50" s="644"/>
      <c r="K50" s="644"/>
      <c r="L50" s="644"/>
      <c r="M50" s="644"/>
      <c r="N50" s="644"/>
      <c r="O50" s="644"/>
      <c r="P50" s="644"/>
      <c r="Q50" s="644"/>
      <c r="R50" s="644"/>
      <c r="S50" s="644"/>
      <c r="T50" s="644"/>
      <c r="U50" s="644"/>
      <c r="V50" s="644"/>
      <c r="W50" s="644"/>
      <c r="X50" s="644"/>
      <c r="Y50" s="757"/>
    </row>
    <row r="51" spans="1:25" ht="14.1" hidden="1" customHeight="1" x14ac:dyDescent="0.25">
      <c r="A51" s="114"/>
      <c r="B51" s="110"/>
      <c r="C51" s="488"/>
      <c r="D51" s="475"/>
      <c r="E51" s="476"/>
      <c r="F51" s="484">
        <v>0</v>
      </c>
      <c r="G51" s="644">
        <f>F51*C4</f>
        <v>0</v>
      </c>
      <c r="H51" s="644"/>
      <c r="I51" s="644"/>
      <c r="J51" s="644"/>
      <c r="K51" s="644"/>
      <c r="L51" s="644"/>
      <c r="M51" s="644"/>
      <c r="N51" s="644"/>
      <c r="O51" s="644"/>
      <c r="P51" s="644"/>
      <c r="Q51" s="644"/>
      <c r="R51" s="644"/>
      <c r="S51" s="644"/>
      <c r="T51" s="644"/>
      <c r="U51" s="644"/>
      <c r="V51" s="644"/>
      <c r="W51" s="644"/>
      <c r="X51" s="644"/>
      <c r="Y51" s="757"/>
    </row>
    <row r="52" spans="1:25" ht="14.1" hidden="1" customHeight="1" x14ac:dyDescent="0.25">
      <c r="A52" s="114"/>
      <c r="B52" s="110"/>
      <c r="C52" s="488"/>
      <c r="D52" s="475"/>
      <c r="E52" s="476"/>
      <c r="F52" s="484">
        <v>0</v>
      </c>
      <c r="G52" s="644">
        <f>F52*C4</f>
        <v>0</v>
      </c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757"/>
    </row>
    <row r="53" spans="1:25" ht="14.1" hidden="1" customHeight="1" x14ac:dyDescent="0.25">
      <c r="A53" s="114"/>
      <c r="B53" s="110"/>
      <c r="C53" s="488"/>
      <c r="D53" s="475"/>
      <c r="E53" s="476"/>
      <c r="F53" s="484">
        <v>0</v>
      </c>
      <c r="G53" s="644">
        <f>F53*C4</f>
        <v>0</v>
      </c>
      <c r="H53" s="644"/>
      <c r="I53" s="644"/>
      <c r="J53" s="644"/>
      <c r="K53" s="644"/>
      <c r="L53" s="644"/>
      <c r="M53" s="644"/>
      <c r="N53" s="644"/>
      <c r="O53" s="644"/>
      <c r="P53" s="644"/>
      <c r="Q53" s="644"/>
      <c r="R53" s="644"/>
      <c r="S53" s="644"/>
      <c r="T53" s="644"/>
      <c r="U53" s="644"/>
      <c r="V53" s="644"/>
      <c r="W53" s="644"/>
      <c r="X53" s="644"/>
      <c r="Y53" s="757"/>
    </row>
    <row r="54" spans="1:25" ht="14.1" hidden="1" customHeight="1" x14ac:dyDescent="0.25">
      <c r="A54" s="114"/>
      <c r="B54" s="110"/>
      <c r="C54" s="488"/>
      <c r="D54" s="475"/>
      <c r="E54" s="476"/>
      <c r="F54" s="484">
        <v>0</v>
      </c>
      <c r="G54" s="644">
        <f>F54*C4</f>
        <v>0</v>
      </c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757"/>
    </row>
    <row r="55" spans="1:25" ht="14.1" hidden="1" customHeight="1" x14ac:dyDescent="0.25">
      <c r="A55" s="114"/>
      <c r="B55" s="110"/>
      <c r="C55" s="488"/>
      <c r="D55" s="475"/>
      <c r="E55" s="476"/>
      <c r="F55" s="484">
        <v>0</v>
      </c>
      <c r="G55" s="644">
        <f>F55*C4</f>
        <v>0</v>
      </c>
      <c r="H55" s="644"/>
      <c r="I55" s="644"/>
      <c r="J55" s="644"/>
      <c r="K55" s="644"/>
      <c r="L55" s="644"/>
      <c r="M55" s="644"/>
      <c r="N55" s="644"/>
      <c r="O55" s="644"/>
      <c r="P55" s="644"/>
      <c r="Q55" s="644"/>
      <c r="R55" s="644"/>
      <c r="S55" s="644"/>
      <c r="T55" s="644"/>
      <c r="U55" s="644"/>
      <c r="V55" s="644"/>
      <c r="W55" s="644"/>
      <c r="X55" s="644"/>
      <c r="Y55" s="757"/>
    </row>
    <row r="56" spans="1:25" ht="14.1" hidden="1" customHeight="1" x14ac:dyDescent="0.25">
      <c r="A56" s="114"/>
      <c r="B56" s="110"/>
      <c r="C56" s="488"/>
      <c r="D56" s="475"/>
      <c r="E56" s="476"/>
      <c r="F56" s="484">
        <v>0</v>
      </c>
      <c r="G56" s="644">
        <f>F56*C4</f>
        <v>0</v>
      </c>
      <c r="H56" s="644"/>
      <c r="I56" s="644"/>
      <c r="J56" s="644"/>
      <c r="K56" s="644"/>
      <c r="L56" s="644"/>
      <c r="M56" s="644"/>
      <c r="N56" s="644"/>
      <c r="O56" s="644"/>
      <c r="P56" s="644"/>
      <c r="Q56" s="644"/>
      <c r="R56" s="644"/>
      <c r="S56" s="644"/>
      <c r="T56" s="644"/>
      <c r="U56" s="644"/>
      <c r="V56" s="644"/>
      <c r="W56" s="644"/>
      <c r="X56" s="644"/>
      <c r="Y56" s="757"/>
    </row>
    <row r="57" spans="1:25" ht="14.1" hidden="1" customHeight="1" x14ac:dyDescent="0.25">
      <c r="A57" s="103"/>
      <c r="B57" s="108" t="s">
        <v>173</v>
      </c>
      <c r="C57" s="474"/>
      <c r="D57" s="475"/>
      <c r="E57" s="476"/>
      <c r="F57" s="646">
        <f>SUM(F47:F56)</f>
        <v>0</v>
      </c>
      <c r="G57" s="644">
        <f>SUM(G47:G56)</f>
        <v>0</v>
      </c>
      <c r="H57" s="644"/>
      <c r="I57" s="644"/>
      <c r="J57" s="644"/>
      <c r="K57" s="644"/>
      <c r="L57" s="644"/>
      <c r="M57" s="644"/>
      <c r="N57" s="644"/>
      <c r="O57" s="644"/>
      <c r="P57" s="644"/>
      <c r="Q57" s="644"/>
      <c r="R57" s="644"/>
      <c r="S57" s="644"/>
      <c r="T57" s="644"/>
      <c r="U57" s="644"/>
      <c r="V57" s="644"/>
      <c r="W57" s="644"/>
      <c r="X57" s="644"/>
      <c r="Y57" s="757"/>
    </row>
    <row r="58" spans="1:25" ht="14.1" hidden="1" customHeight="1" x14ac:dyDescent="0.25">
      <c r="A58" s="103"/>
      <c r="B58" s="39"/>
      <c r="C58" s="474"/>
      <c r="D58" s="475"/>
      <c r="E58" s="476"/>
      <c r="F58" s="643"/>
      <c r="G58" s="644"/>
      <c r="H58" s="644"/>
      <c r="I58" s="644"/>
      <c r="J58" s="644"/>
      <c r="K58" s="644"/>
      <c r="L58" s="644"/>
      <c r="M58" s="644"/>
      <c r="N58" s="644"/>
      <c r="O58" s="644"/>
      <c r="P58" s="644"/>
      <c r="Q58" s="644"/>
      <c r="R58" s="644"/>
      <c r="S58" s="644"/>
      <c r="T58" s="644"/>
      <c r="U58" s="644"/>
      <c r="V58" s="644"/>
      <c r="W58" s="644"/>
      <c r="X58" s="644"/>
      <c r="Y58" s="757"/>
    </row>
    <row r="59" spans="1:25" ht="14.1" hidden="1" customHeight="1" x14ac:dyDescent="0.25">
      <c r="A59" s="103" t="s">
        <v>22</v>
      </c>
      <c r="B59" s="39"/>
      <c r="C59" s="474"/>
      <c r="D59" s="475"/>
      <c r="E59" s="476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757"/>
    </row>
    <row r="60" spans="1:25" ht="14.1" hidden="1" customHeight="1" x14ac:dyDescent="0.25">
      <c r="A60" s="103" t="s">
        <v>32</v>
      </c>
      <c r="B60" s="108" t="s">
        <v>33</v>
      </c>
      <c r="C60" s="474" t="s">
        <v>174</v>
      </c>
      <c r="D60" s="475"/>
      <c r="E60" s="476"/>
      <c r="F60" s="643"/>
      <c r="G60" s="644"/>
      <c r="H60" s="644"/>
      <c r="I60" s="644"/>
      <c r="J60" s="644"/>
      <c r="K60" s="644"/>
      <c r="L60" s="644"/>
      <c r="M60" s="644"/>
      <c r="N60" s="644"/>
      <c r="O60" s="644"/>
      <c r="P60" s="644"/>
      <c r="Q60" s="644"/>
      <c r="R60" s="644"/>
      <c r="S60" s="644"/>
      <c r="T60" s="644"/>
      <c r="U60" s="644"/>
      <c r="V60" s="644"/>
      <c r="W60" s="644"/>
      <c r="X60" s="644"/>
      <c r="Y60" s="757"/>
    </row>
    <row r="61" spans="1:25" ht="14.1" hidden="1" customHeight="1" x14ac:dyDescent="0.25">
      <c r="A61" s="114"/>
      <c r="B61" s="110"/>
      <c r="C61" s="488"/>
      <c r="D61" s="475"/>
      <c r="E61" s="476"/>
      <c r="F61" s="484">
        <v>0</v>
      </c>
      <c r="G61" s="644">
        <f>F61*C4</f>
        <v>0</v>
      </c>
      <c r="H61" s="644"/>
      <c r="I61" s="644"/>
      <c r="J61" s="644"/>
      <c r="K61" s="644"/>
      <c r="L61" s="644"/>
      <c r="M61" s="644"/>
      <c r="N61" s="644"/>
      <c r="O61" s="644"/>
      <c r="P61" s="644"/>
      <c r="Q61" s="644"/>
      <c r="R61" s="644"/>
      <c r="S61" s="644"/>
      <c r="T61" s="644"/>
      <c r="U61" s="644"/>
      <c r="V61" s="644"/>
      <c r="W61" s="644"/>
      <c r="X61" s="644"/>
      <c r="Y61" s="757"/>
    </row>
    <row r="62" spans="1:25" ht="14.1" hidden="1" customHeight="1" x14ac:dyDescent="0.25">
      <c r="A62" s="114"/>
      <c r="B62" s="110"/>
      <c r="C62" s="488"/>
      <c r="D62" s="475"/>
      <c r="E62" s="476"/>
      <c r="F62" s="484">
        <v>0</v>
      </c>
      <c r="G62" s="644">
        <f>F62*C4</f>
        <v>0</v>
      </c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757"/>
    </row>
    <row r="63" spans="1:25" ht="14.1" hidden="1" customHeight="1" x14ac:dyDescent="0.25">
      <c r="A63" s="114"/>
      <c r="B63" s="110"/>
      <c r="C63" s="488"/>
      <c r="D63" s="475"/>
      <c r="E63" s="476"/>
      <c r="F63" s="484">
        <v>0</v>
      </c>
      <c r="G63" s="644">
        <f>F63*C4</f>
        <v>0</v>
      </c>
      <c r="H63" s="644"/>
      <c r="I63" s="644"/>
      <c r="J63" s="644"/>
      <c r="K63" s="644"/>
      <c r="L63" s="644"/>
      <c r="M63" s="644"/>
      <c r="N63" s="644"/>
      <c r="O63" s="644"/>
      <c r="P63" s="644"/>
      <c r="Q63" s="644"/>
      <c r="R63" s="644"/>
      <c r="S63" s="644"/>
      <c r="T63" s="644"/>
      <c r="U63" s="644"/>
      <c r="V63" s="644"/>
      <c r="W63" s="644"/>
      <c r="X63" s="644"/>
      <c r="Y63" s="757"/>
    </row>
    <row r="64" spans="1:25" ht="14.1" hidden="1" customHeight="1" x14ac:dyDescent="0.25">
      <c r="A64" s="114"/>
      <c r="B64" s="110"/>
      <c r="C64" s="488"/>
      <c r="D64" s="475"/>
      <c r="E64" s="476"/>
      <c r="F64" s="484">
        <v>0</v>
      </c>
      <c r="G64" s="644">
        <f>F64*C4</f>
        <v>0</v>
      </c>
      <c r="H64" s="644"/>
      <c r="I64" s="644"/>
      <c r="J64" s="644"/>
      <c r="K64" s="644"/>
      <c r="L64" s="644"/>
      <c r="M64" s="644"/>
      <c r="N64" s="644"/>
      <c r="O64" s="644"/>
      <c r="P64" s="644"/>
      <c r="Q64" s="644"/>
      <c r="R64" s="644"/>
      <c r="S64" s="644"/>
      <c r="T64" s="644"/>
      <c r="U64" s="644"/>
      <c r="V64" s="644"/>
      <c r="W64" s="644"/>
      <c r="X64" s="644"/>
      <c r="Y64" s="757"/>
    </row>
    <row r="65" spans="1:25" ht="14.1" hidden="1" customHeight="1" x14ac:dyDescent="0.25">
      <c r="A65" s="114"/>
      <c r="B65" s="110"/>
      <c r="C65" s="488"/>
      <c r="D65" s="475"/>
      <c r="E65" s="476"/>
      <c r="F65" s="484">
        <v>0</v>
      </c>
      <c r="G65" s="644">
        <f>F65*C4</f>
        <v>0</v>
      </c>
      <c r="H65" s="644"/>
      <c r="I65" s="644"/>
      <c r="J65" s="644"/>
      <c r="K65" s="644"/>
      <c r="L65" s="644"/>
      <c r="M65" s="644"/>
      <c r="N65" s="644"/>
      <c r="O65" s="644"/>
      <c r="P65" s="644"/>
      <c r="Q65" s="644"/>
      <c r="R65" s="644"/>
      <c r="S65" s="644"/>
      <c r="T65" s="644"/>
      <c r="U65" s="644"/>
      <c r="V65" s="644"/>
      <c r="W65" s="644"/>
      <c r="X65" s="644"/>
      <c r="Y65" s="757"/>
    </row>
    <row r="66" spans="1:25" ht="14.1" hidden="1" customHeight="1" x14ac:dyDescent="0.25">
      <c r="A66" s="114"/>
      <c r="B66" s="110"/>
      <c r="C66" s="488"/>
      <c r="D66" s="475"/>
      <c r="E66" s="476"/>
      <c r="F66" s="484">
        <v>0</v>
      </c>
      <c r="G66" s="644">
        <f>F66*C4</f>
        <v>0</v>
      </c>
      <c r="H66" s="644"/>
      <c r="I66" s="644"/>
      <c r="J66" s="644"/>
      <c r="K66" s="644"/>
      <c r="L66" s="644"/>
      <c r="M66" s="644"/>
      <c r="N66" s="644"/>
      <c r="O66" s="644"/>
      <c r="P66" s="644"/>
      <c r="Q66" s="644"/>
      <c r="R66" s="644"/>
      <c r="S66" s="644"/>
      <c r="T66" s="644"/>
      <c r="U66" s="644"/>
      <c r="V66" s="644"/>
      <c r="W66" s="644"/>
      <c r="X66" s="644"/>
      <c r="Y66" s="757"/>
    </row>
    <row r="67" spans="1:25" ht="14.1" hidden="1" customHeight="1" x14ac:dyDescent="0.25">
      <c r="A67" s="114"/>
      <c r="B67" s="110"/>
      <c r="C67" s="488"/>
      <c r="D67" s="475"/>
      <c r="E67" s="476"/>
      <c r="F67" s="484">
        <v>0</v>
      </c>
      <c r="G67" s="644">
        <f>F67*C4</f>
        <v>0</v>
      </c>
      <c r="H67" s="644"/>
      <c r="I67" s="644"/>
      <c r="J67" s="644"/>
      <c r="K67" s="644"/>
      <c r="L67" s="644"/>
      <c r="M67" s="644"/>
      <c r="N67" s="644"/>
      <c r="O67" s="644"/>
      <c r="P67" s="644"/>
      <c r="Q67" s="644"/>
      <c r="R67" s="644"/>
      <c r="S67" s="644"/>
      <c r="T67" s="644"/>
      <c r="U67" s="644"/>
      <c r="V67" s="644"/>
      <c r="W67" s="644"/>
      <c r="X67" s="644"/>
      <c r="Y67" s="757"/>
    </row>
    <row r="68" spans="1:25" ht="14.1" hidden="1" customHeight="1" x14ac:dyDescent="0.25">
      <c r="A68" s="114"/>
      <c r="B68" s="110"/>
      <c r="C68" s="488"/>
      <c r="D68" s="475"/>
      <c r="E68" s="476"/>
      <c r="F68" s="484">
        <v>0</v>
      </c>
      <c r="G68" s="644">
        <f>F68*C4</f>
        <v>0</v>
      </c>
      <c r="H68" s="644"/>
      <c r="I68" s="644"/>
      <c r="J68" s="644"/>
      <c r="K68" s="644"/>
      <c r="L68" s="644"/>
      <c r="M68" s="644"/>
      <c r="N68" s="644"/>
      <c r="O68" s="644"/>
      <c r="P68" s="644"/>
      <c r="Q68" s="644"/>
      <c r="R68" s="644"/>
      <c r="S68" s="644"/>
      <c r="T68" s="644"/>
      <c r="U68" s="644"/>
      <c r="V68" s="644"/>
      <c r="W68" s="644"/>
      <c r="X68" s="644"/>
      <c r="Y68" s="757"/>
    </row>
    <row r="69" spans="1:25" ht="14.1" hidden="1" customHeight="1" x14ac:dyDescent="0.25">
      <c r="A69" s="114"/>
      <c r="B69" s="110"/>
      <c r="C69" s="488"/>
      <c r="D69" s="475"/>
      <c r="E69" s="476"/>
      <c r="F69" s="484">
        <v>0</v>
      </c>
      <c r="G69" s="644">
        <f>F69*C4</f>
        <v>0</v>
      </c>
      <c r="H69" s="644"/>
      <c r="I69" s="644"/>
      <c r="J69" s="644"/>
      <c r="K69" s="644"/>
      <c r="L69" s="644"/>
      <c r="M69" s="644"/>
      <c r="N69" s="644"/>
      <c r="O69" s="644"/>
      <c r="P69" s="644"/>
      <c r="Q69" s="644"/>
      <c r="R69" s="644"/>
      <c r="S69" s="644"/>
      <c r="T69" s="644"/>
      <c r="U69" s="644"/>
      <c r="V69" s="644"/>
      <c r="W69" s="644"/>
      <c r="X69" s="644"/>
      <c r="Y69" s="757"/>
    </row>
    <row r="70" spans="1:25" ht="14.1" hidden="1" customHeight="1" x14ac:dyDescent="0.25">
      <c r="A70" s="114"/>
      <c r="B70" s="110"/>
      <c r="C70" s="488"/>
      <c r="D70" s="475"/>
      <c r="E70" s="476"/>
      <c r="F70" s="484">
        <v>0</v>
      </c>
      <c r="G70" s="644">
        <f>F70*C4</f>
        <v>0</v>
      </c>
      <c r="H70" s="644"/>
      <c r="I70" s="644"/>
      <c r="J70" s="644"/>
      <c r="K70" s="644"/>
      <c r="L70" s="644"/>
      <c r="M70" s="644"/>
      <c r="N70" s="644"/>
      <c r="O70" s="644"/>
      <c r="P70" s="644"/>
      <c r="Q70" s="644"/>
      <c r="R70" s="644"/>
      <c r="S70" s="644"/>
      <c r="T70" s="644"/>
      <c r="U70" s="644"/>
      <c r="V70" s="644"/>
      <c r="W70" s="644"/>
      <c r="X70" s="644"/>
      <c r="Y70" s="757"/>
    </row>
    <row r="71" spans="1:25" ht="14.1" hidden="1" customHeight="1" x14ac:dyDescent="0.25">
      <c r="A71" s="103"/>
      <c r="B71" s="108" t="s">
        <v>173</v>
      </c>
      <c r="C71" s="474"/>
      <c r="D71" s="475"/>
      <c r="E71" s="476"/>
      <c r="F71" s="646">
        <f>SUM(F61:F70)</f>
        <v>0</v>
      </c>
      <c r="G71" s="644">
        <f>SUM(G61:G70)</f>
        <v>0</v>
      </c>
      <c r="H71" s="644"/>
      <c r="I71" s="644"/>
      <c r="J71" s="644"/>
      <c r="K71" s="644"/>
      <c r="L71" s="644"/>
      <c r="M71" s="644"/>
      <c r="N71" s="644"/>
      <c r="O71" s="644"/>
      <c r="P71" s="644"/>
      <c r="Q71" s="644"/>
      <c r="R71" s="644"/>
      <c r="S71" s="644"/>
      <c r="T71" s="644"/>
      <c r="U71" s="644"/>
      <c r="V71" s="644"/>
      <c r="W71" s="644"/>
      <c r="X71" s="644"/>
      <c r="Y71" s="757"/>
    </row>
    <row r="72" spans="1:25" ht="14.1" hidden="1" customHeight="1" x14ac:dyDescent="0.25">
      <c r="A72" s="103"/>
      <c r="B72" s="39"/>
      <c r="C72" s="474"/>
      <c r="D72" s="475"/>
      <c r="E72" s="476"/>
      <c r="F72" s="643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751"/>
    </row>
    <row r="73" spans="1:25" ht="14.1" hidden="1" customHeight="1" thickBot="1" x14ac:dyDescent="0.3">
      <c r="A73" s="117" t="s">
        <v>3</v>
      </c>
      <c r="B73" s="117"/>
      <c r="C73" s="491"/>
      <c r="D73" s="492"/>
      <c r="E73" s="493"/>
      <c r="F73" s="647">
        <f>SUM(F28+F42+F43+F57+F71)</f>
        <v>0</v>
      </c>
      <c r="G73" s="647">
        <f>SUM(G28+G42+G43+G57+G71)</f>
        <v>0</v>
      </c>
      <c r="H73" s="495"/>
      <c r="I73" s="495"/>
      <c r="J73" s="495"/>
      <c r="K73" s="495"/>
      <c r="L73" s="495"/>
      <c r="M73" s="495"/>
      <c r="N73" s="495"/>
      <c r="O73" s="495"/>
      <c r="P73" s="495"/>
      <c r="Q73" s="495"/>
      <c r="R73" s="495"/>
      <c r="S73" s="495"/>
      <c r="T73" s="495"/>
      <c r="U73" s="495"/>
      <c r="V73" s="495"/>
      <c r="W73" s="495"/>
      <c r="X73" s="495"/>
      <c r="Y73" s="758"/>
    </row>
    <row r="74" spans="1:25" ht="14.1" customHeight="1" x14ac:dyDescent="0.25">
      <c r="A74" s="103"/>
      <c r="B74" s="103"/>
      <c r="C74" s="480"/>
      <c r="D74" s="496"/>
      <c r="E74" s="477"/>
      <c r="F74" s="498"/>
      <c r="G74" s="498"/>
      <c r="H74" s="498"/>
      <c r="I74" s="498"/>
      <c r="J74" s="498"/>
      <c r="K74" s="498"/>
      <c r="L74" s="498"/>
      <c r="M74" s="498"/>
      <c r="N74" s="498"/>
      <c r="O74" s="498"/>
      <c r="P74" s="498"/>
      <c r="Q74" s="498"/>
      <c r="R74" s="498"/>
      <c r="S74" s="498"/>
      <c r="T74" s="498"/>
      <c r="U74" s="498"/>
      <c r="V74" s="498"/>
      <c r="W74" s="498"/>
      <c r="X74" s="498"/>
      <c r="Y74" s="758"/>
    </row>
    <row r="75" spans="1:25" ht="14.1" customHeight="1" thickBot="1" x14ac:dyDescent="0.3">
      <c r="A75" s="74" t="s">
        <v>6</v>
      </c>
      <c r="B75" s="103"/>
      <c r="C75" s="480"/>
      <c r="D75" s="499"/>
      <c r="E75" s="485"/>
      <c r="F75" s="643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751"/>
    </row>
    <row r="76" spans="1:25" ht="14.1" customHeight="1" thickBot="1" x14ac:dyDescent="0.3">
      <c r="A76" s="35"/>
      <c r="B76" s="74" t="s">
        <v>306</v>
      </c>
      <c r="C76" s="453" t="s">
        <v>30</v>
      </c>
      <c r="D76" s="454" t="s">
        <v>31</v>
      </c>
      <c r="E76" s="438" t="s">
        <v>0</v>
      </c>
      <c r="F76" s="455" t="s">
        <v>69</v>
      </c>
      <c r="G76" s="455" t="s">
        <v>69</v>
      </c>
      <c r="H76" s="847" t="s">
        <v>185</v>
      </c>
      <c r="I76" s="848"/>
      <c r="J76" s="848"/>
      <c r="K76" s="848"/>
      <c r="L76" s="848"/>
      <c r="M76" s="848"/>
      <c r="N76" s="848"/>
      <c r="O76" s="848"/>
      <c r="P76" s="848"/>
      <c r="Q76" s="849"/>
      <c r="R76" s="455" t="s">
        <v>302</v>
      </c>
      <c r="S76" s="455" t="s">
        <v>303</v>
      </c>
      <c r="T76" s="455" t="s">
        <v>303</v>
      </c>
      <c r="U76" s="455" t="s">
        <v>302</v>
      </c>
      <c r="V76" s="455" t="s">
        <v>303</v>
      </c>
      <c r="W76" s="91" t="s">
        <v>303</v>
      </c>
      <c r="X76" s="91" t="s">
        <v>305</v>
      </c>
      <c r="Y76" s="754"/>
    </row>
    <row r="77" spans="1:25" ht="14.1" customHeight="1" thickBot="1" x14ac:dyDescent="0.3">
      <c r="A77" s="35"/>
      <c r="B77" s="74"/>
      <c r="C77" s="453"/>
      <c r="D77" s="454"/>
      <c r="E77" s="438"/>
      <c r="F77" s="455" t="s">
        <v>5</v>
      </c>
      <c r="G77" s="455" t="s">
        <v>5</v>
      </c>
      <c r="H77" s="500" t="s">
        <v>175</v>
      </c>
      <c r="I77" s="500" t="s">
        <v>176</v>
      </c>
      <c r="J77" s="500" t="s">
        <v>177</v>
      </c>
      <c r="K77" s="500" t="s">
        <v>178</v>
      </c>
      <c r="L77" s="500" t="s">
        <v>179</v>
      </c>
      <c r="M77" s="500" t="s">
        <v>180</v>
      </c>
      <c r="N77" s="500" t="s">
        <v>181</v>
      </c>
      <c r="O77" s="500" t="s">
        <v>182</v>
      </c>
      <c r="P77" s="500" t="s">
        <v>183</v>
      </c>
      <c r="Q77" s="500" t="s">
        <v>184</v>
      </c>
      <c r="R77" s="458"/>
      <c r="S77" s="455"/>
      <c r="T77" s="455"/>
      <c r="U77" s="455"/>
      <c r="V77" s="455"/>
      <c r="W77" s="88"/>
      <c r="X77" s="88"/>
      <c r="Y77" s="759"/>
    </row>
    <row r="78" spans="1:25" ht="14.1" customHeight="1" x14ac:dyDescent="0.25">
      <c r="A78" s="74"/>
      <c r="B78" s="74"/>
      <c r="C78" s="453" t="s">
        <v>1</v>
      </c>
      <c r="D78" s="454" t="s">
        <v>2</v>
      </c>
      <c r="E78" s="458" t="s">
        <v>20</v>
      </c>
      <c r="F78" s="458" t="s">
        <v>20</v>
      </c>
      <c r="G78" s="91" t="s">
        <v>4</v>
      </c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458" t="s">
        <v>20</v>
      </c>
      <c r="S78" s="458" t="s">
        <v>20</v>
      </c>
      <c r="T78" s="219" t="s">
        <v>304</v>
      </c>
      <c r="U78" s="219" t="s">
        <v>4</v>
      </c>
      <c r="V78" s="219" t="s">
        <v>4</v>
      </c>
      <c r="W78" s="91" t="s">
        <v>304</v>
      </c>
      <c r="X78" s="91"/>
      <c r="Y78" s="754"/>
    </row>
    <row r="79" spans="1:25" ht="14.1" customHeight="1" x14ac:dyDescent="0.25">
      <c r="A79" s="74" t="s">
        <v>83</v>
      </c>
      <c r="B79" s="74"/>
      <c r="C79" s="453"/>
      <c r="D79" s="454"/>
      <c r="E79" s="458"/>
      <c r="F79" s="458"/>
      <c r="G79" s="91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20"/>
      <c r="S79" s="220"/>
      <c r="T79" s="220"/>
      <c r="U79" s="220"/>
      <c r="V79" s="220"/>
      <c r="W79" s="220"/>
      <c r="X79" s="220"/>
      <c r="Y79" s="760"/>
    </row>
    <row r="80" spans="1:25" ht="14.1" customHeight="1" x14ac:dyDescent="0.25">
      <c r="A80" s="129">
        <v>1</v>
      </c>
      <c r="B80" s="130" t="s">
        <v>84</v>
      </c>
      <c r="C80" s="507"/>
      <c r="D80" s="508"/>
      <c r="E80" s="509"/>
      <c r="F80" s="510"/>
      <c r="G80" s="137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21"/>
      <c r="S80" s="221"/>
      <c r="T80" s="221"/>
      <c r="U80" s="221"/>
      <c r="V80" s="221"/>
      <c r="W80" s="221"/>
      <c r="X80" s="221"/>
      <c r="Y80" s="761"/>
    </row>
    <row r="81" spans="1:27" ht="14.1" customHeight="1" x14ac:dyDescent="0.25">
      <c r="A81" s="200">
        <v>1.1000000000000001</v>
      </c>
      <c r="B81" s="113" t="s">
        <v>87</v>
      </c>
      <c r="C81" s="515"/>
      <c r="D81" s="516"/>
      <c r="E81" s="517"/>
      <c r="F81" s="698">
        <f t="shared" ref="F81:F86" si="0">D81*E81</f>
        <v>0</v>
      </c>
      <c r="G81" s="32">
        <f>F81*C4</f>
        <v>0</v>
      </c>
      <c r="H81" s="240"/>
      <c r="I81" s="240"/>
      <c r="J81" s="240"/>
      <c r="K81" s="240"/>
      <c r="L81" s="240"/>
      <c r="M81" s="240"/>
      <c r="N81" s="240"/>
      <c r="O81" s="240"/>
      <c r="P81" s="240"/>
      <c r="Q81" s="249"/>
      <c r="R81" s="263"/>
      <c r="S81" s="222">
        <f>R81-F81</f>
        <v>0</v>
      </c>
      <c r="T81" s="228">
        <f>IF(F81=0,0,S81/F81)</f>
        <v>0</v>
      </c>
      <c r="U81" s="222">
        <f>R81*$C$4</f>
        <v>0</v>
      </c>
      <c r="V81" s="222">
        <f>U81-G81</f>
        <v>0</v>
      </c>
      <c r="W81" s="228">
        <f>IF(G81=0,0,V81/G81)</f>
        <v>0</v>
      </c>
      <c r="X81" s="228"/>
      <c r="Y81" s="762"/>
    </row>
    <row r="82" spans="1:27" ht="14.1" customHeight="1" x14ac:dyDescent="0.25">
      <c r="A82" s="103" t="s">
        <v>110</v>
      </c>
      <c r="B82" s="113"/>
      <c r="C82" s="646"/>
      <c r="D82" s="649"/>
      <c r="E82" s="643"/>
      <c r="F82" s="643"/>
      <c r="G82" s="32"/>
      <c r="H82" s="239"/>
      <c r="I82" s="239"/>
      <c r="J82" s="239"/>
      <c r="K82" s="239"/>
      <c r="L82" s="239"/>
      <c r="M82" s="239"/>
      <c r="N82" s="239"/>
      <c r="O82" s="239"/>
      <c r="P82" s="239"/>
      <c r="Q82" s="250"/>
      <c r="R82" s="255"/>
      <c r="S82" s="222"/>
      <c r="T82" s="228"/>
      <c r="U82" s="222"/>
      <c r="V82" s="222"/>
      <c r="W82" s="228"/>
      <c r="X82" s="228"/>
      <c r="Y82" s="762"/>
    </row>
    <row r="83" spans="1:27" ht="14.1" customHeight="1" x14ac:dyDescent="0.25">
      <c r="A83" s="209" t="s">
        <v>86</v>
      </c>
      <c r="B83" s="46" t="s">
        <v>842</v>
      </c>
      <c r="C83" s="515" t="s">
        <v>314</v>
      </c>
      <c r="D83" s="516">
        <v>12</v>
      </c>
      <c r="E83" s="517">
        <f>7100*C6</f>
        <v>1523305</v>
      </c>
      <c r="F83" s="698">
        <f t="shared" si="0"/>
        <v>18279660</v>
      </c>
      <c r="G83" s="35">
        <f t="shared" ref="G83:G86" si="1">F83*$C$4</f>
        <v>85366.012199999997</v>
      </c>
      <c r="H83" s="239"/>
      <c r="I83" s="239"/>
      <c r="J83" s="239"/>
      <c r="K83" s="239"/>
      <c r="L83" s="239"/>
      <c r="M83" s="239"/>
      <c r="N83" s="239"/>
      <c r="O83" s="239"/>
      <c r="P83" s="239"/>
      <c r="Q83" s="250"/>
      <c r="R83" s="261"/>
      <c r="S83" s="222">
        <f t="shared" ref="S83:S132" si="2">R83-F83</f>
        <v>-18279660</v>
      </c>
      <c r="T83" s="228">
        <f t="shared" ref="T83:T132" si="3">IF(F83=0,0,S83/F83)</f>
        <v>-1</v>
      </c>
      <c r="U83" s="222">
        <f t="shared" ref="U83:U132" si="4">R83*$C$4</f>
        <v>0</v>
      </c>
      <c r="V83" s="222">
        <f t="shared" ref="V83:V132" si="5">U83-G83</f>
        <v>-85366.012199999997</v>
      </c>
      <c r="W83" s="228">
        <f t="shared" ref="W83:W132" si="6">IF(G83=0,0,V83/G83)</f>
        <v>-1</v>
      </c>
      <c r="X83" s="228"/>
      <c r="Y83" s="762"/>
    </row>
    <row r="84" spans="1:27" ht="14.1" customHeight="1" x14ac:dyDescent="0.25">
      <c r="A84" s="210" t="s">
        <v>89</v>
      </c>
      <c r="B84" s="46" t="s">
        <v>843</v>
      </c>
      <c r="C84" s="515" t="s">
        <v>314</v>
      </c>
      <c r="D84" s="516">
        <v>12</v>
      </c>
      <c r="E84" s="517">
        <f>(7100*0.1)*C6</f>
        <v>152330.5</v>
      </c>
      <c r="F84" s="698">
        <f t="shared" si="0"/>
        <v>1827966</v>
      </c>
      <c r="G84" s="35">
        <f t="shared" si="1"/>
        <v>8536.6012199999986</v>
      </c>
      <c r="H84" s="239"/>
      <c r="I84" s="239"/>
      <c r="J84" s="239"/>
      <c r="K84" s="239"/>
      <c r="L84" s="239"/>
      <c r="M84" s="239"/>
      <c r="N84" s="239"/>
      <c r="O84" s="239"/>
      <c r="P84" s="239"/>
      <c r="Q84" s="250"/>
      <c r="R84" s="261"/>
      <c r="S84" s="222">
        <f t="shared" si="2"/>
        <v>-1827966</v>
      </c>
      <c r="T84" s="228">
        <f t="shared" si="3"/>
        <v>-1</v>
      </c>
      <c r="U84" s="222">
        <f t="shared" si="4"/>
        <v>0</v>
      </c>
      <c r="V84" s="222">
        <f t="shared" si="5"/>
        <v>-8536.6012199999986</v>
      </c>
      <c r="W84" s="228">
        <f t="shared" si="6"/>
        <v>-1</v>
      </c>
      <c r="X84" s="228"/>
      <c r="Y84" s="762"/>
    </row>
    <row r="85" spans="1:27" ht="14.1" customHeight="1" x14ac:dyDescent="0.25">
      <c r="A85" s="210" t="s">
        <v>90</v>
      </c>
      <c r="B85" s="46" t="s">
        <v>844</v>
      </c>
      <c r="C85" s="515" t="s">
        <v>314</v>
      </c>
      <c r="D85" s="516">
        <v>12</v>
      </c>
      <c r="E85" s="517">
        <f>(7100*0.1)*C6</f>
        <v>152330.5</v>
      </c>
      <c r="F85" s="698">
        <f t="shared" si="0"/>
        <v>1827966</v>
      </c>
      <c r="G85" s="35">
        <f t="shared" si="1"/>
        <v>8536.6012199999986</v>
      </c>
      <c r="H85" s="239"/>
      <c r="I85" s="239"/>
      <c r="J85" s="239"/>
      <c r="K85" s="239"/>
      <c r="L85" s="239"/>
      <c r="M85" s="239"/>
      <c r="N85" s="239"/>
      <c r="O85" s="239"/>
      <c r="P85" s="239"/>
      <c r="Q85" s="250"/>
      <c r="R85" s="261"/>
      <c r="S85" s="222">
        <f t="shared" si="2"/>
        <v>-1827966</v>
      </c>
      <c r="T85" s="228">
        <f t="shared" si="3"/>
        <v>-1</v>
      </c>
      <c r="U85" s="222">
        <f t="shared" si="4"/>
        <v>0</v>
      </c>
      <c r="V85" s="222">
        <f t="shared" si="5"/>
        <v>-8536.6012199999986</v>
      </c>
      <c r="W85" s="228">
        <f t="shared" si="6"/>
        <v>-1</v>
      </c>
      <c r="X85" s="228"/>
      <c r="Y85" s="762"/>
    </row>
    <row r="86" spans="1:27" ht="14.1" customHeight="1" x14ac:dyDescent="0.25">
      <c r="A86" s="210" t="s">
        <v>91</v>
      </c>
      <c r="B86" s="46" t="s">
        <v>845</v>
      </c>
      <c r="C86" s="515" t="s">
        <v>314</v>
      </c>
      <c r="D86" s="516">
        <v>12</v>
      </c>
      <c r="E86" s="517">
        <f>6100*C6</f>
        <v>1308755</v>
      </c>
      <c r="F86" s="698">
        <f t="shared" si="0"/>
        <v>15705060</v>
      </c>
      <c r="G86" s="35">
        <f t="shared" si="1"/>
        <v>73342.6302</v>
      </c>
      <c r="H86" s="239"/>
      <c r="I86" s="239"/>
      <c r="J86" s="239"/>
      <c r="K86" s="239"/>
      <c r="L86" s="239"/>
      <c r="M86" s="239"/>
      <c r="N86" s="239"/>
      <c r="O86" s="239"/>
      <c r="P86" s="239"/>
      <c r="Q86" s="250"/>
      <c r="R86" s="261"/>
      <c r="S86" s="222">
        <f t="shared" si="2"/>
        <v>-15705060</v>
      </c>
      <c r="T86" s="228">
        <f t="shared" si="3"/>
        <v>-1</v>
      </c>
      <c r="U86" s="222">
        <f t="shared" si="4"/>
        <v>0</v>
      </c>
      <c r="V86" s="222">
        <f t="shared" si="5"/>
        <v>-73342.6302</v>
      </c>
      <c r="W86" s="228">
        <f t="shared" si="6"/>
        <v>-1</v>
      </c>
      <c r="X86" s="228"/>
      <c r="Y86" s="762"/>
    </row>
    <row r="87" spans="1:27" ht="14.1" customHeight="1" x14ac:dyDescent="0.25">
      <c r="A87" s="207"/>
      <c r="B87" s="208"/>
      <c r="C87" s="651"/>
      <c r="D87" s="652"/>
      <c r="E87" s="653"/>
      <c r="F87" s="650"/>
      <c r="G87" s="35"/>
      <c r="H87" s="239"/>
      <c r="I87" s="239"/>
      <c r="J87" s="239"/>
      <c r="K87" s="239"/>
      <c r="L87" s="239"/>
      <c r="M87" s="239"/>
      <c r="N87" s="239"/>
      <c r="O87" s="239"/>
      <c r="P87" s="239"/>
      <c r="Q87" s="250"/>
      <c r="R87" s="256"/>
      <c r="S87" s="222"/>
      <c r="T87" s="228"/>
      <c r="U87" s="222"/>
      <c r="V87" s="222"/>
      <c r="W87" s="228"/>
      <c r="X87" s="228"/>
      <c r="Y87" s="762"/>
    </row>
    <row r="88" spans="1:27" ht="14.1" customHeight="1" x14ac:dyDescent="0.25">
      <c r="A88" s="103" t="s">
        <v>111</v>
      </c>
      <c r="B88" s="35"/>
      <c r="C88" s="644"/>
      <c r="D88" s="655"/>
      <c r="E88" s="656"/>
      <c r="F88" s="650"/>
      <c r="G88" s="35"/>
      <c r="H88" s="239"/>
      <c r="I88" s="239"/>
      <c r="J88" s="239"/>
      <c r="K88" s="239"/>
      <c r="L88" s="239"/>
      <c r="M88" s="239"/>
      <c r="N88" s="239"/>
      <c r="O88" s="239"/>
      <c r="P88" s="239"/>
      <c r="Q88" s="250"/>
      <c r="R88" s="256"/>
      <c r="S88" s="222"/>
      <c r="T88" s="228"/>
      <c r="U88" s="222"/>
      <c r="V88" s="222"/>
      <c r="W88" s="228"/>
      <c r="X88" s="228"/>
      <c r="Y88" s="762"/>
    </row>
    <row r="89" spans="1:27" ht="14.1" customHeight="1" x14ac:dyDescent="0.25">
      <c r="A89" s="81" t="s">
        <v>88</v>
      </c>
      <c r="B89" s="46" t="s">
        <v>846</v>
      </c>
      <c r="C89" s="515" t="s">
        <v>432</v>
      </c>
      <c r="D89" s="516">
        <v>11</v>
      </c>
      <c r="E89" s="517">
        <f>(1400*1.41)*C6</f>
        <v>423521.7</v>
      </c>
      <c r="F89" s="650">
        <f t="shared" ref="F89:F94" si="7">D89*E89</f>
        <v>4658738.7</v>
      </c>
      <c r="G89" s="35">
        <f t="shared" ref="G89:G94" si="8">F89*$C$4</f>
        <v>21756.309729000001</v>
      </c>
      <c r="H89" s="239"/>
      <c r="I89" s="239"/>
      <c r="J89" s="239"/>
      <c r="K89" s="239"/>
      <c r="L89" s="239"/>
      <c r="M89" s="239"/>
      <c r="N89" s="239"/>
      <c r="O89" s="239"/>
      <c r="P89" s="239"/>
      <c r="Q89" s="250"/>
      <c r="R89" s="261"/>
      <c r="S89" s="222">
        <f t="shared" si="2"/>
        <v>-4658738.7</v>
      </c>
      <c r="T89" s="228">
        <f t="shared" si="3"/>
        <v>-1</v>
      </c>
      <c r="U89" s="222">
        <f t="shared" si="4"/>
        <v>0</v>
      </c>
      <c r="V89" s="222">
        <f t="shared" si="5"/>
        <v>-21756.309729000001</v>
      </c>
      <c r="W89" s="228">
        <f t="shared" si="6"/>
        <v>-1</v>
      </c>
      <c r="X89" s="228"/>
      <c r="Y89" s="762"/>
    </row>
    <row r="90" spans="1:27" ht="14.1" customHeight="1" x14ac:dyDescent="0.25">
      <c r="A90" s="148" t="s">
        <v>94</v>
      </c>
      <c r="B90" s="46" t="s">
        <v>847</v>
      </c>
      <c r="C90" s="515" t="s">
        <v>432</v>
      </c>
      <c r="D90" s="516">
        <v>10</v>
      </c>
      <c r="E90" s="517">
        <f>600*C6</f>
        <v>128730</v>
      </c>
      <c r="F90" s="650">
        <f t="shared" si="7"/>
        <v>1287300</v>
      </c>
      <c r="G90" s="35">
        <f t="shared" si="8"/>
        <v>6011.6909999999998</v>
      </c>
      <c r="H90" s="239"/>
      <c r="I90" s="239"/>
      <c r="J90" s="239"/>
      <c r="K90" s="239"/>
      <c r="L90" s="239"/>
      <c r="M90" s="239"/>
      <c r="N90" s="239"/>
      <c r="O90" s="239"/>
      <c r="P90" s="239"/>
      <c r="Q90" s="250"/>
      <c r="R90" s="261"/>
      <c r="S90" s="222">
        <f t="shared" si="2"/>
        <v>-1287300</v>
      </c>
      <c r="T90" s="228">
        <f t="shared" si="3"/>
        <v>-1</v>
      </c>
      <c r="U90" s="222">
        <f t="shared" si="4"/>
        <v>0</v>
      </c>
      <c r="V90" s="222">
        <f t="shared" si="5"/>
        <v>-6011.6909999999998</v>
      </c>
      <c r="W90" s="228">
        <f t="shared" si="6"/>
        <v>-1</v>
      </c>
      <c r="X90" s="228"/>
      <c r="Y90" s="762"/>
    </row>
    <row r="91" spans="1:27" ht="14.1" customHeight="1" x14ac:dyDescent="0.25">
      <c r="A91" s="148" t="s">
        <v>95</v>
      </c>
      <c r="B91" s="46" t="s">
        <v>848</v>
      </c>
      <c r="C91" s="515" t="s">
        <v>432</v>
      </c>
      <c r="D91" s="516">
        <v>10</v>
      </c>
      <c r="E91" s="517">
        <f>(500*C6)*6</f>
        <v>643650</v>
      </c>
      <c r="F91" s="650">
        <f t="shared" si="7"/>
        <v>6436500</v>
      </c>
      <c r="G91" s="35">
        <f t="shared" si="8"/>
        <v>30058.454999999998</v>
      </c>
      <c r="H91" s="239"/>
      <c r="I91" s="239"/>
      <c r="J91" s="239"/>
      <c r="K91" s="239"/>
      <c r="L91" s="239"/>
      <c r="M91" s="239"/>
      <c r="N91" s="239"/>
      <c r="O91" s="239"/>
      <c r="P91" s="239"/>
      <c r="Q91" s="250"/>
      <c r="R91" s="261"/>
      <c r="S91" s="222">
        <f t="shared" si="2"/>
        <v>-6436500</v>
      </c>
      <c r="T91" s="228">
        <f t="shared" si="3"/>
        <v>-1</v>
      </c>
      <c r="U91" s="222">
        <f t="shared" si="4"/>
        <v>0</v>
      </c>
      <c r="V91" s="222">
        <f t="shared" si="5"/>
        <v>-30058.454999999998</v>
      </c>
      <c r="W91" s="228">
        <f t="shared" si="6"/>
        <v>-1</v>
      </c>
      <c r="X91" s="228"/>
      <c r="Y91" s="762"/>
    </row>
    <row r="92" spans="1:27" ht="14.1" customHeight="1" x14ac:dyDescent="0.25">
      <c r="A92" s="148" t="s">
        <v>96</v>
      </c>
      <c r="B92" s="46" t="s">
        <v>849</v>
      </c>
      <c r="C92" s="515" t="s">
        <v>539</v>
      </c>
      <c r="D92" s="516">
        <v>50</v>
      </c>
      <c r="E92" s="517">
        <f>(15*C6)*12</f>
        <v>38619</v>
      </c>
      <c r="F92" s="650">
        <f t="shared" si="7"/>
        <v>1930950</v>
      </c>
      <c r="G92" s="35">
        <f>F92*$C$4</f>
        <v>9017.5365000000002</v>
      </c>
      <c r="H92" s="239"/>
      <c r="I92" s="239"/>
      <c r="J92" s="239"/>
      <c r="K92" s="239"/>
      <c r="L92" s="239"/>
      <c r="M92" s="239"/>
      <c r="N92" s="239"/>
      <c r="O92" s="239"/>
      <c r="P92" s="239"/>
      <c r="Q92" s="250"/>
      <c r="R92" s="261"/>
      <c r="S92" s="222">
        <f t="shared" si="2"/>
        <v>-1930950</v>
      </c>
      <c r="T92" s="228">
        <f t="shared" si="3"/>
        <v>-1</v>
      </c>
      <c r="U92" s="222">
        <f t="shared" si="4"/>
        <v>0</v>
      </c>
      <c r="V92" s="222">
        <f t="shared" si="5"/>
        <v>-9017.5365000000002</v>
      </c>
      <c r="W92" s="228">
        <f t="shared" si="6"/>
        <v>-1</v>
      </c>
      <c r="X92" s="228"/>
      <c r="Y92" s="762"/>
    </row>
    <row r="93" spans="1:27" ht="14.1" customHeight="1" x14ac:dyDescent="0.25">
      <c r="A93" s="148" t="s">
        <v>97</v>
      </c>
      <c r="B93" s="46"/>
      <c r="C93" s="515"/>
      <c r="D93" s="516"/>
      <c r="E93" s="517"/>
      <c r="F93" s="650">
        <f t="shared" si="7"/>
        <v>0</v>
      </c>
      <c r="G93" s="35">
        <f t="shared" si="8"/>
        <v>0</v>
      </c>
      <c r="H93" s="239"/>
      <c r="I93" s="239"/>
      <c r="J93" s="239"/>
      <c r="K93" s="239"/>
      <c r="L93" s="239"/>
      <c r="M93" s="239"/>
      <c r="N93" s="239"/>
      <c r="O93" s="239"/>
      <c r="P93" s="239"/>
      <c r="Q93" s="250"/>
      <c r="R93" s="261"/>
      <c r="S93" s="222">
        <f t="shared" si="2"/>
        <v>0</v>
      </c>
      <c r="T93" s="228">
        <f t="shared" si="3"/>
        <v>0</v>
      </c>
      <c r="U93" s="222">
        <f t="shared" si="4"/>
        <v>0</v>
      </c>
      <c r="V93" s="222">
        <f t="shared" si="5"/>
        <v>0</v>
      </c>
      <c r="W93" s="228">
        <f t="shared" si="6"/>
        <v>0</v>
      </c>
      <c r="X93" s="228"/>
      <c r="Y93" s="762"/>
    </row>
    <row r="94" spans="1:27" ht="14.1" customHeight="1" x14ac:dyDescent="0.25">
      <c r="A94" s="148" t="s">
        <v>98</v>
      </c>
      <c r="B94" s="46"/>
      <c r="C94" s="515"/>
      <c r="D94" s="516"/>
      <c r="E94" s="517"/>
      <c r="F94" s="650">
        <f t="shared" si="7"/>
        <v>0</v>
      </c>
      <c r="G94" s="35">
        <f t="shared" si="8"/>
        <v>0</v>
      </c>
      <c r="H94" s="239"/>
      <c r="I94" s="239"/>
      <c r="J94" s="239"/>
      <c r="K94" s="239"/>
      <c r="L94" s="239"/>
      <c r="M94" s="239"/>
      <c r="N94" s="239"/>
      <c r="O94" s="239"/>
      <c r="P94" s="239"/>
      <c r="Q94" s="250"/>
      <c r="R94" s="261"/>
      <c r="S94" s="222">
        <f t="shared" si="2"/>
        <v>0</v>
      </c>
      <c r="T94" s="228">
        <f t="shared" si="3"/>
        <v>0</v>
      </c>
      <c r="U94" s="222">
        <f t="shared" si="4"/>
        <v>0</v>
      </c>
      <c r="V94" s="222">
        <f t="shared" si="5"/>
        <v>0</v>
      </c>
      <c r="W94" s="228">
        <f t="shared" si="6"/>
        <v>0</v>
      </c>
      <c r="X94" s="228"/>
      <c r="Y94" s="762"/>
    </row>
    <row r="95" spans="1:27" ht="14.1" customHeight="1" thickBot="1" x14ac:dyDescent="0.3">
      <c r="A95" s="103"/>
      <c r="B95" s="150" t="s">
        <v>85</v>
      </c>
      <c r="C95" s="480"/>
      <c r="D95" s="499"/>
      <c r="E95" s="485"/>
      <c r="F95" s="555">
        <f>SUM(F81+F83+F84+F85+F86+F89+F90+F91+F92+F93+F94)</f>
        <v>51954140.700000003</v>
      </c>
      <c r="G95" s="555">
        <f>SUM(G81+G83+G84+G85+G86+G89+G90+G91+G92+G93+G94)</f>
        <v>242625.83706899994</v>
      </c>
      <c r="H95" s="556"/>
      <c r="I95" s="556"/>
      <c r="J95" s="556"/>
      <c r="K95" s="556"/>
      <c r="L95" s="556"/>
      <c r="M95" s="556"/>
      <c r="N95" s="556"/>
      <c r="O95" s="556"/>
      <c r="P95" s="556"/>
      <c r="Q95" s="557"/>
      <c r="R95" s="558"/>
      <c r="S95" s="234">
        <f t="shared" si="2"/>
        <v>-51954140.700000003</v>
      </c>
      <c r="T95" s="235">
        <f t="shared" si="3"/>
        <v>-1</v>
      </c>
      <c r="U95" s="234">
        <f t="shared" si="4"/>
        <v>0</v>
      </c>
      <c r="V95" s="234">
        <f t="shared" si="5"/>
        <v>-242625.83706899994</v>
      </c>
      <c r="W95" s="235">
        <f t="shared" si="6"/>
        <v>-1</v>
      </c>
      <c r="X95" s="235"/>
      <c r="Y95" s="763"/>
      <c r="AA95" s="835"/>
    </row>
    <row r="96" spans="1:27" ht="14.1" customHeight="1" thickTop="1" x14ac:dyDescent="0.25">
      <c r="A96" s="91"/>
      <c r="B96" s="74"/>
      <c r="C96" s="453"/>
      <c r="D96" s="454"/>
      <c r="E96" s="458"/>
      <c r="F96" s="458"/>
      <c r="G96" s="91"/>
      <c r="H96" s="238"/>
      <c r="I96" s="238"/>
      <c r="J96" s="238"/>
      <c r="K96" s="238"/>
      <c r="L96" s="238"/>
      <c r="M96" s="238"/>
      <c r="N96" s="238"/>
      <c r="O96" s="238"/>
      <c r="P96" s="238"/>
      <c r="Q96" s="251"/>
      <c r="R96" s="257"/>
      <c r="S96" s="222"/>
      <c r="T96" s="228"/>
      <c r="U96" s="222"/>
      <c r="V96" s="222"/>
      <c r="W96" s="228"/>
      <c r="X96" s="228"/>
      <c r="Y96" s="762"/>
    </row>
    <row r="97" spans="1:25" ht="14.1" customHeight="1" x14ac:dyDescent="0.25">
      <c r="A97" s="129">
        <v>2</v>
      </c>
      <c r="B97" s="130" t="s">
        <v>99</v>
      </c>
      <c r="C97" s="507"/>
      <c r="D97" s="508"/>
      <c r="E97" s="509"/>
      <c r="F97" s="509"/>
      <c r="G97" s="151"/>
      <c r="H97" s="238"/>
      <c r="I97" s="238"/>
      <c r="J97" s="238"/>
      <c r="K97" s="238"/>
      <c r="L97" s="238"/>
      <c r="M97" s="238"/>
      <c r="N97" s="238"/>
      <c r="O97" s="238"/>
      <c r="P97" s="238"/>
      <c r="Q97" s="251"/>
      <c r="R97" s="259"/>
      <c r="S97" s="227"/>
      <c r="T97" s="229"/>
      <c r="U97" s="227"/>
      <c r="V97" s="227"/>
      <c r="W97" s="229"/>
      <c r="X97" s="229"/>
      <c r="Y97" s="762"/>
    </row>
    <row r="98" spans="1:25" ht="14.1" customHeight="1" x14ac:dyDescent="0.25">
      <c r="A98" s="217" t="s">
        <v>100</v>
      </c>
      <c r="B98" s="781" t="s">
        <v>70</v>
      </c>
      <c r="C98" s="567"/>
      <c r="D98" s="568"/>
      <c r="E98" s="569"/>
      <c r="F98" s="570">
        <f>SUM(F99:F103)</f>
        <v>82977212.5</v>
      </c>
      <c r="G98" s="212">
        <f>SUM(G99:G103)</f>
        <v>387503.582375</v>
      </c>
      <c r="H98" s="239"/>
      <c r="I98" s="239"/>
      <c r="J98" s="239"/>
      <c r="K98" s="239"/>
      <c r="L98" s="239"/>
      <c r="M98" s="239"/>
      <c r="N98" s="239"/>
      <c r="O98" s="239"/>
      <c r="P98" s="239"/>
      <c r="Q98" s="250"/>
      <c r="R98" s="261"/>
      <c r="S98" s="236">
        <f t="shared" si="2"/>
        <v>-82977212.5</v>
      </c>
      <c r="T98" s="237">
        <f t="shared" si="3"/>
        <v>-1</v>
      </c>
      <c r="U98" s="236">
        <f t="shared" si="4"/>
        <v>0</v>
      </c>
      <c r="V98" s="236">
        <f t="shared" si="5"/>
        <v>-387503.582375</v>
      </c>
      <c r="W98" s="237">
        <f t="shared" si="6"/>
        <v>-1</v>
      </c>
      <c r="X98" s="237"/>
      <c r="Y98" s="764"/>
    </row>
    <row r="99" spans="1:25" ht="14.1" customHeight="1" x14ac:dyDescent="0.25">
      <c r="A99" s="152" t="s">
        <v>200</v>
      </c>
      <c r="B99" s="110" t="s">
        <v>850</v>
      </c>
      <c r="C99" s="575" t="s">
        <v>851</v>
      </c>
      <c r="D99" s="576">
        <v>250</v>
      </c>
      <c r="E99" s="577">
        <f>603*C6</f>
        <v>129373.65000000001</v>
      </c>
      <c r="F99" s="650">
        <f>D99*E99</f>
        <v>32343412.500000004</v>
      </c>
      <c r="G99" s="35">
        <f>F99*$C$4</f>
        <v>151043.73637500001</v>
      </c>
      <c r="H99" s="239"/>
      <c r="I99" s="239"/>
      <c r="J99" s="239"/>
      <c r="K99" s="239"/>
      <c r="L99" s="239"/>
      <c r="M99" s="239"/>
      <c r="N99" s="239"/>
      <c r="O99" s="239"/>
      <c r="P99" s="239"/>
      <c r="Q99" s="250"/>
      <c r="R99" s="261"/>
      <c r="S99" s="222">
        <f t="shared" si="2"/>
        <v>-32343412.500000004</v>
      </c>
      <c r="T99" s="228">
        <f t="shared" si="3"/>
        <v>-1</v>
      </c>
      <c r="U99" s="222">
        <f t="shared" si="4"/>
        <v>0</v>
      </c>
      <c r="V99" s="222">
        <f t="shared" si="5"/>
        <v>-151043.73637500001</v>
      </c>
      <c r="W99" s="228">
        <f t="shared" si="6"/>
        <v>-1</v>
      </c>
      <c r="X99" s="228"/>
      <c r="Y99" s="762">
        <f>D99*5</f>
        <v>1250</v>
      </c>
    </row>
    <row r="100" spans="1:25" ht="14.1" customHeight="1" x14ac:dyDescent="0.25">
      <c r="A100" s="152" t="s">
        <v>201</v>
      </c>
      <c r="B100" s="110" t="s">
        <v>852</v>
      </c>
      <c r="C100" s="575" t="s">
        <v>853</v>
      </c>
      <c r="D100" s="576">
        <v>250</v>
      </c>
      <c r="E100" s="577">
        <f>303*C6</f>
        <v>65008.65</v>
      </c>
      <c r="F100" s="650">
        <f>D100*E100</f>
        <v>16252162.5</v>
      </c>
      <c r="G100" s="35">
        <f>F100*$C$4</f>
        <v>75897.598874999996</v>
      </c>
      <c r="H100" s="239"/>
      <c r="I100" s="239"/>
      <c r="J100" s="239"/>
      <c r="K100" s="239"/>
      <c r="L100" s="239"/>
      <c r="M100" s="239"/>
      <c r="N100" s="239"/>
      <c r="O100" s="239"/>
      <c r="P100" s="239"/>
      <c r="Q100" s="250"/>
      <c r="R100" s="261"/>
      <c r="S100" s="222">
        <f t="shared" si="2"/>
        <v>-16252162.5</v>
      </c>
      <c r="T100" s="228">
        <f t="shared" si="3"/>
        <v>-1</v>
      </c>
      <c r="U100" s="222">
        <f t="shared" si="4"/>
        <v>0</v>
      </c>
      <c r="V100" s="222">
        <f t="shared" si="5"/>
        <v>-75897.598874999996</v>
      </c>
      <c r="W100" s="228">
        <f t="shared" si="6"/>
        <v>-1</v>
      </c>
      <c r="X100" s="228"/>
      <c r="Y100" s="762">
        <f>D100*5</f>
        <v>1250</v>
      </c>
    </row>
    <row r="101" spans="1:25" ht="14.1" customHeight="1" x14ac:dyDescent="0.25">
      <c r="A101" s="152" t="s">
        <v>202</v>
      </c>
      <c r="B101" s="110" t="s">
        <v>854</v>
      </c>
      <c r="C101" s="575" t="s">
        <v>853</v>
      </c>
      <c r="D101" s="576">
        <v>250</v>
      </c>
      <c r="E101" s="577">
        <f>253*C6</f>
        <v>54281.15</v>
      </c>
      <c r="F101" s="650">
        <f>D101*E101</f>
        <v>13570287.5</v>
      </c>
      <c r="G101" s="35">
        <f>F101*$C$4</f>
        <v>63373.242624999999</v>
      </c>
      <c r="H101" s="239"/>
      <c r="I101" s="239"/>
      <c r="J101" s="239"/>
      <c r="K101" s="239"/>
      <c r="L101" s="239"/>
      <c r="M101" s="239"/>
      <c r="N101" s="239"/>
      <c r="O101" s="239"/>
      <c r="P101" s="239"/>
      <c r="Q101" s="250"/>
      <c r="R101" s="261"/>
      <c r="S101" s="222">
        <f t="shared" si="2"/>
        <v>-13570287.5</v>
      </c>
      <c r="T101" s="228">
        <f t="shared" si="3"/>
        <v>-1</v>
      </c>
      <c r="U101" s="222">
        <f t="shared" si="4"/>
        <v>0</v>
      </c>
      <c r="V101" s="222">
        <f t="shared" si="5"/>
        <v>-63373.242624999999</v>
      </c>
      <c r="W101" s="228">
        <f t="shared" si="6"/>
        <v>-1</v>
      </c>
      <c r="X101" s="228"/>
      <c r="Y101" s="762">
        <f>D101*5</f>
        <v>1250</v>
      </c>
    </row>
    <row r="102" spans="1:25" ht="14.1" customHeight="1" x14ac:dyDescent="0.25">
      <c r="A102" s="152" t="s">
        <v>203</v>
      </c>
      <c r="B102" s="110" t="s">
        <v>855</v>
      </c>
      <c r="C102" s="575" t="s">
        <v>856</v>
      </c>
      <c r="D102" s="576">
        <f>250*5</f>
        <v>1250</v>
      </c>
      <c r="E102" s="577">
        <f>23*C6</f>
        <v>4934.6500000000005</v>
      </c>
      <c r="F102" s="650">
        <f>D102*E102</f>
        <v>6168312.5000000009</v>
      </c>
      <c r="G102" s="35">
        <f>F102*$C$4</f>
        <v>28806.019375000003</v>
      </c>
      <c r="H102" s="239"/>
      <c r="I102" s="239"/>
      <c r="J102" s="239"/>
      <c r="K102" s="239"/>
      <c r="L102" s="239"/>
      <c r="M102" s="239"/>
      <c r="N102" s="239"/>
      <c r="O102" s="239"/>
      <c r="P102" s="239"/>
      <c r="Q102" s="250"/>
      <c r="R102" s="261"/>
      <c r="S102" s="222">
        <f t="shared" si="2"/>
        <v>-6168312.5000000009</v>
      </c>
      <c r="T102" s="228">
        <f t="shared" si="3"/>
        <v>-1</v>
      </c>
      <c r="U102" s="222">
        <f t="shared" si="4"/>
        <v>0</v>
      </c>
      <c r="V102" s="222">
        <f t="shared" si="5"/>
        <v>-28806.019375000003</v>
      </c>
      <c r="W102" s="228">
        <f t="shared" si="6"/>
        <v>-1</v>
      </c>
      <c r="X102" s="228"/>
      <c r="Y102" s="762">
        <f>D102</f>
        <v>1250</v>
      </c>
    </row>
    <row r="103" spans="1:25" ht="14.1" customHeight="1" x14ac:dyDescent="0.25">
      <c r="A103" s="152" t="s">
        <v>204</v>
      </c>
      <c r="B103" s="110" t="s">
        <v>857</v>
      </c>
      <c r="C103" s="575" t="s">
        <v>851</v>
      </c>
      <c r="D103" s="576">
        <v>250</v>
      </c>
      <c r="E103" s="577">
        <f>273*C6</f>
        <v>58572.15</v>
      </c>
      <c r="F103" s="650">
        <f>D103*E103</f>
        <v>14643037.5</v>
      </c>
      <c r="G103" s="35">
        <f>F103*$C$4</f>
        <v>68382.985124999992</v>
      </c>
      <c r="H103" s="239"/>
      <c r="I103" s="239"/>
      <c r="J103" s="239"/>
      <c r="K103" s="239"/>
      <c r="L103" s="239"/>
      <c r="M103" s="239"/>
      <c r="N103" s="239"/>
      <c r="O103" s="239"/>
      <c r="P103" s="239"/>
      <c r="Q103" s="250"/>
      <c r="R103" s="261"/>
      <c r="S103" s="222">
        <f t="shared" si="2"/>
        <v>-14643037.5</v>
      </c>
      <c r="T103" s="228">
        <f t="shared" si="3"/>
        <v>-1</v>
      </c>
      <c r="U103" s="222">
        <f t="shared" si="4"/>
        <v>0</v>
      </c>
      <c r="V103" s="222">
        <f t="shared" si="5"/>
        <v>-68382.985124999992</v>
      </c>
      <c r="W103" s="228">
        <f t="shared" si="6"/>
        <v>-1</v>
      </c>
      <c r="X103" s="228"/>
      <c r="Y103" s="762">
        <f>D103*5</f>
        <v>1250</v>
      </c>
    </row>
    <row r="104" spans="1:25" ht="14.1" customHeight="1" x14ac:dyDescent="0.25">
      <c r="A104" s="217" t="s">
        <v>101</v>
      </c>
      <c r="B104" s="218" t="s">
        <v>858</v>
      </c>
      <c r="C104" s="567"/>
      <c r="D104" s="568"/>
      <c r="E104" s="569"/>
      <c r="F104" s="570">
        <f>SUM(F105:F106)</f>
        <v>14646613.190300001</v>
      </c>
      <c r="G104" s="212">
        <f>SUM(G105:G106)</f>
        <v>68399.683598700998</v>
      </c>
      <c r="H104" s="239"/>
      <c r="I104" s="239"/>
      <c r="J104" s="239"/>
      <c r="K104" s="239"/>
      <c r="L104" s="239"/>
      <c r="M104" s="239"/>
      <c r="N104" s="239"/>
      <c r="O104" s="239"/>
      <c r="P104" s="239"/>
      <c r="Q104" s="250"/>
      <c r="R104" s="261"/>
      <c r="S104" s="236">
        <f t="shared" si="2"/>
        <v>-14646613.190300001</v>
      </c>
      <c r="T104" s="237">
        <f t="shared" si="3"/>
        <v>-1</v>
      </c>
      <c r="U104" s="236">
        <f t="shared" si="4"/>
        <v>0</v>
      </c>
      <c r="V104" s="236">
        <f t="shared" si="5"/>
        <v>-68399.683598700998</v>
      </c>
      <c r="W104" s="237">
        <f t="shared" si="6"/>
        <v>-1</v>
      </c>
      <c r="X104" s="237"/>
      <c r="Y104" s="764"/>
    </row>
    <row r="105" spans="1:25" ht="14.1" customHeight="1" x14ac:dyDescent="0.25">
      <c r="A105" s="152" t="s">
        <v>205</v>
      </c>
      <c r="B105" s="110" t="s">
        <v>859</v>
      </c>
      <c r="C105" s="575" t="s">
        <v>851</v>
      </c>
      <c r="D105" s="576">
        <v>200</v>
      </c>
      <c r="E105" s="577">
        <f>(100*C6*3)+(33.33333*C6)</f>
        <v>71516.665951500006</v>
      </c>
      <c r="F105" s="650">
        <f>D105*E105</f>
        <v>14303333.190300001</v>
      </c>
      <c r="G105" s="35">
        <f>F105*$C$4</f>
        <v>66796.565998701</v>
      </c>
      <c r="H105" s="239"/>
      <c r="I105" s="239"/>
      <c r="J105" s="239"/>
      <c r="K105" s="239"/>
      <c r="L105" s="239"/>
      <c r="M105" s="239"/>
      <c r="N105" s="239"/>
      <c r="O105" s="239"/>
      <c r="P105" s="239"/>
      <c r="Q105" s="250"/>
      <c r="R105" s="261"/>
      <c r="S105" s="222">
        <f t="shared" si="2"/>
        <v>-14303333.190300001</v>
      </c>
      <c r="T105" s="228">
        <f t="shared" si="3"/>
        <v>-1</v>
      </c>
      <c r="U105" s="222">
        <f t="shared" si="4"/>
        <v>0</v>
      </c>
      <c r="V105" s="222">
        <f t="shared" si="5"/>
        <v>-66796.565998701</v>
      </c>
      <c r="W105" s="228">
        <f t="shared" si="6"/>
        <v>-1</v>
      </c>
      <c r="X105" s="228"/>
      <c r="Y105" s="762">
        <f>D105*5</f>
        <v>1000</v>
      </c>
    </row>
    <row r="106" spans="1:25" ht="14.1" customHeight="1" x14ac:dyDescent="0.25">
      <c r="A106" s="152" t="s">
        <v>206</v>
      </c>
      <c r="B106" s="110" t="s">
        <v>860</v>
      </c>
      <c r="C106" s="575" t="s">
        <v>851</v>
      </c>
      <c r="D106" s="576">
        <v>200</v>
      </c>
      <c r="E106" s="577">
        <f>8*C6</f>
        <v>1716.4</v>
      </c>
      <c r="F106" s="650">
        <f>D106*E106</f>
        <v>343280</v>
      </c>
      <c r="G106" s="35">
        <f>F106*$C$4</f>
        <v>1603.1175999999998</v>
      </c>
      <c r="H106" s="239"/>
      <c r="I106" s="239"/>
      <c r="J106" s="239"/>
      <c r="K106" s="239"/>
      <c r="L106" s="239"/>
      <c r="M106" s="239"/>
      <c r="N106" s="239"/>
      <c r="O106" s="239"/>
      <c r="P106" s="239"/>
      <c r="Q106" s="250"/>
      <c r="R106" s="261"/>
      <c r="S106" s="222">
        <f t="shared" si="2"/>
        <v>-343280</v>
      </c>
      <c r="T106" s="228">
        <f t="shared" si="3"/>
        <v>-1</v>
      </c>
      <c r="U106" s="222">
        <f t="shared" si="4"/>
        <v>0</v>
      </c>
      <c r="V106" s="222">
        <f t="shared" si="5"/>
        <v>-1603.1175999999998</v>
      </c>
      <c r="W106" s="228">
        <f t="shared" si="6"/>
        <v>-1</v>
      </c>
      <c r="X106" s="228"/>
      <c r="Y106" s="762">
        <f>D106*5</f>
        <v>1000</v>
      </c>
    </row>
    <row r="107" spans="1:25" ht="14.1" customHeight="1" x14ac:dyDescent="0.25">
      <c r="A107" s="217" t="s">
        <v>102</v>
      </c>
      <c r="B107" s="218" t="s">
        <v>71</v>
      </c>
      <c r="C107" s="567"/>
      <c r="D107" s="568"/>
      <c r="E107" s="569"/>
      <c r="F107" s="570">
        <f>SUM(F108:F111)</f>
        <v>24083237.5</v>
      </c>
      <c r="G107" s="212">
        <f>SUM(G108:G111)</f>
        <v>112468.719125</v>
      </c>
      <c r="H107" s="239"/>
      <c r="I107" s="239"/>
      <c r="J107" s="239"/>
      <c r="K107" s="239"/>
      <c r="L107" s="239"/>
      <c r="M107" s="239"/>
      <c r="N107" s="239"/>
      <c r="O107" s="239"/>
      <c r="P107" s="239"/>
      <c r="Q107" s="250"/>
      <c r="R107" s="261"/>
      <c r="S107" s="236">
        <f t="shared" si="2"/>
        <v>-24083237.5</v>
      </c>
      <c r="T107" s="237">
        <f t="shared" si="3"/>
        <v>-1</v>
      </c>
      <c r="U107" s="236">
        <f t="shared" si="4"/>
        <v>0</v>
      </c>
      <c r="V107" s="236">
        <f t="shared" si="5"/>
        <v>-112468.719125</v>
      </c>
      <c r="W107" s="237">
        <f t="shared" si="6"/>
        <v>-1</v>
      </c>
      <c r="X107" s="237"/>
      <c r="Y107" s="764"/>
    </row>
    <row r="108" spans="1:25" ht="14.1" customHeight="1" x14ac:dyDescent="0.25">
      <c r="A108" s="152" t="s">
        <v>210</v>
      </c>
      <c r="B108" s="110" t="s">
        <v>861</v>
      </c>
      <c r="C108" s="575" t="s">
        <v>826</v>
      </c>
      <c r="D108" s="576">
        <v>250</v>
      </c>
      <c r="E108" s="577">
        <f>23*C6*3</f>
        <v>14803.95</v>
      </c>
      <c r="F108" s="650">
        <f>D108*E108</f>
        <v>3700987.5</v>
      </c>
      <c r="G108" s="35">
        <f>F108*$C$4</f>
        <v>17283.611624999998</v>
      </c>
      <c r="H108" s="239"/>
      <c r="I108" s="239"/>
      <c r="J108" s="239"/>
      <c r="K108" s="239"/>
      <c r="L108" s="239"/>
      <c r="M108" s="239"/>
      <c r="N108" s="239"/>
      <c r="O108" s="239"/>
      <c r="P108" s="239"/>
      <c r="Q108" s="250"/>
      <c r="R108" s="261"/>
      <c r="S108" s="222">
        <f t="shared" si="2"/>
        <v>-3700987.5</v>
      </c>
      <c r="T108" s="228">
        <f t="shared" si="3"/>
        <v>-1</v>
      </c>
      <c r="U108" s="222">
        <f t="shared" si="4"/>
        <v>0</v>
      </c>
      <c r="V108" s="222">
        <f t="shared" si="5"/>
        <v>-17283.611624999998</v>
      </c>
      <c r="W108" s="228">
        <f t="shared" si="6"/>
        <v>-1</v>
      </c>
      <c r="X108" s="228"/>
      <c r="Y108" s="762">
        <f>D108*5</f>
        <v>1250</v>
      </c>
    </row>
    <row r="109" spans="1:25" ht="14.1" customHeight="1" x14ac:dyDescent="0.25">
      <c r="A109" s="152" t="s">
        <v>211</v>
      </c>
      <c r="B109" s="110" t="s">
        <v>862</v>
      </c>
      <c r="C109" s="575" t="s">
        <v>826</v>
      </c>
      <c r="D109" s="576">
        <v>250</v>
      </c>
      <c r="E109" s="577">
        <f>18*C6*3</f>
        <v>11585.7</v>
      </c>
      <c r="F109" s="650">
        <f>D109*E109</f>
        <v>2896425</v>
      </c>
      <c r="G109" s="35">
        <f>F109*$C$4</f>
        <v>13526.304749999999</v>
      </c>
      <c r="H109" s="239"/>
      <c r="I109" s="239"/>
      <c r="J109" s="239"/>
      <c r="K109" s="239"/>
      <c r="L109" s="239"/>
      <c r="M109" s="239"/>
      <c r="N109" s="239"/>
      <c r="O109" s="239"/>
      <c r="P109" s="239"/>
      <c r="Q109" s="250"/>
      <c r="R109" s="261"/>
      <c r="S109" s="222">
        <f t="shared" si="2"/>
        <v>-2896425</v>
      </c>
      <c r="T109" s="228">
        <f t="shared" si="3"/>
        <v>-1</v>
      </c>
      <c r="U109" s="222">
        <f t="shared" si="4"/>
        <v>0</v>
      </c>
      <c r="V109" s="222">
        <f t="shared" si="5"/>
        <v>-13526.304749999999</v>
      </c>
      <c r="W109" s="228">
        <f t="shared" si="6"/>
        <v>-1</v>
      </c>
      <c r="X109" s="228"/>
      <c r="Y109" s="762">
        <f>D109*5</f>
        <v>1250</v>
      </c>
    </row>
    <row r="110" spans="1:25" ht="14.1" customHeight="1" x14ac:dyDescent="0.25">
      <c r="A110" s="152" t="s">
        <v>212</v>
      </c>
      <c r="B110" s="110" t="s">
        <v>863</v>
      </c>
      <c r="C110" s="575" t="s">
        <v>864</v>
      </c>
      <c r="D110" s="576">
        <v>500</v>
      </c>
      <c r="E110" s="577">
        <f>13*C6</f>
        <v>2789.15</v>
      </c>
      <c r="F110" s="650">
        <f>D110*E110</f>
        <v>1394575</v>
      </c>
      <c r="G110" s="35">
        <f>F110*$C$4</f>
        <v>6512.6652499999991</v>
      </c>
      <c r="H110" s="239"/>
      <c r="I110" s="239"/>
      <c r="J110" s="239"/>
      <c r="K110" s="239"/>
      <c r="L110" s="239"/>
      <c r="M110" s="239"/>
      <c r="N110" s="239"/>
      <c r="O110" s="239"/>
      <c r="P110" s="239"/>
      <c r="Q110" s="250"/>
      <c r="R110" s="261"/>
      <c r="S110" s="222">
        <f t="shared" si="2"/>
        <v>-1394575</v>
      </c>
      <c r="T110" s="228">
        <f t="shared" si="3"/>
        <v>-1</v>
      </c>
      <c r="U110" s="222">
        <f t="shared" si="4"/>
        <v>0</v>
      </c>
      <c r="V110" s="222">
        <f t="shared" si="5"/>
        <v>-6512.6652499999991</v>
      </c>
      <c r="W110" s="228">
        <f t="shared" si="6"/>
        <v>-1</v>
      </c>
      <c r="X110" s="228"/>
      <c r="Y110" s="762">
        <f>D110</f>
        <v>500</v>
      </c>
    </row>
    <row r="111" spans="1:25" ht="14.1" customHeight="1" x14ac:dyDescent="0.25">
      <c r="A111" s="152" t="s">
        <v>213</v>
      </c>
      <c r="B111" s="110" t="s">
        <v>865</v>
      </c>
      <c r="C111" s="575" t="s">
        <v>866</v>
      </c>
      <c r="D111" s="576">
        <v>3</v>
      </c>
      <c r="E111" s="577">
        <f>25000*C6</f>
        <v>5363750</v>
      </c>
      <c r="F111" s="650">
        <f>D111*E111</f>
        <v>16091250</v>
      </c>
      <c r="G111" s="35">
        <f>F111*$C$4</f>
        <v>75146.137499999997</v>
      </c>
      <c r="H111" s="239"/>
      <c r="I111" s="239"/>
      <c r="J111" s="239"/>
      <c r="K111" s="239"/>
      <c r="L111" s="239"/>
      <c r="M111" s="239"/>
      <c r="N111" s="239"/>
      <c r="O111" s="239"/>
      <c r="P111" s="239"/>
      <c r="Q111" s="250"/>
      <c r="R111" s="261"/>
      <c r="S111" s="222">
        <f t="shared" si="2"/>
        <v>-16091250</v>
      </c>
      <c r="T111" s="228">
        <f t="shared" si="3"/>
        <v>-1</v>
      </c>
      <c r="U111" s="222">
        <f t="shared" si="4"/>
        <v>0</v>
      </c>
      <c r="V111" s="222">
        <f t="shared" si="5"/>
        <v>-75146.137499999997</v>
      </c>
      <c r="W111" s="228">
        <f t="shared" si="6"/>
        <v>-1</v>
      </c>
      <c r="X111" s="228"/>
      <c r="Y111" s="762">
        <f>D111*4000</f>
        <v>12000</v>
      </c>
    </row>
    <row r="112" spans="1:25" ht="14.1" customHeight="1" x14ac:dyDescent="0.25">
      <c r="A112" s="217" t="s">
        <v>103</v>
      </c>
      <c r="B112" s="218" t="s">
        <v>72</v>
      </c>
      <c r="C112" s="567"/>
      <c r="D112" s="568"/>
      <c r="E112" s="569"/>
      <c r="F112" s="570">
        <f>SUM(F113:F117)</f>
        <v>0</v>
      </c>
      <c r="G112" s="212">
        <f>SUM(G113:G117)</f>
        <v>0</v>
      </c>
      <c r="H112" s="239"/>
      <c r="I112" s="239"/>
      <c r="J112" s="239"/>
      <c r="K112" s="239"/>
      <c r="L112" s="239"/>
      <c r="M112" s="239"/>
      <c r="N112" s="239"/>
      <c r="O112" s="239"/>
      <c r="P112" s="239"/>
      <c r="Q112" s="250"/>
      <c r="R112" s="261"/>
      <c r="S112" s="236">
        <f t="shared" si="2"/>
        <v>0</v>
      </c>
      <c r="T112" s="237">
        <f t="shared" si="3"/>
        <v>0</v>
      </c>
      <c r="U112" s="236">
        <f t="shared" si="4"/>
        <v>0</v>
      </c>
      <c r="V112" s="236">
        <f t="shared" si="5"/>
        <v>0</v>
      </c>
      <c r="W112" s="237">
        <f t="shared" si="6"/>
        <v>0</v>
      </c>
      <c r="X112" s="237"/>
      <c r="Y112" s="764"/>
    </row>
    <row r="113" spans="1:25" ht="14.1" hidden="1" customHeight="1" x14ac:dyDescent="0.25">
      <c r="A113" s="152" t="s">
        <v>215</v>
      </c>
      <c r="B113" s="110"/>
      <c r="C113" s="575"/>
      <c r="D113" s="576"/>
      <c r="E113" s="577"/>
      <c r="F113" s="650">
        <f>D113*E113</f>
        <v>0</v>
      </c>
      <c r="G113" s="35">
        <f>F113*C4</f>
        <v>0</v>
      </c>
      <c r="H113" s="239"/>
      <c r="I113" s="239"/>
      <c r="J113" s="239"/>
      <c r="K113" s="239"/>
      <c r="L113" s="239"/>
      <c r="M113" s="239"/>
      <c r="N113" s="239"/>
      <c r="O113" s="239"/>
      <c r="P113" s="239"/>
      <c r="Q113" s="250"/>
      <c r="R113" s="261"/>
      <c r="S113" s="222">
        <f t="shared" si="2"/>
        <v>0</v>
      </c>
      <c r="T113" s="228">
        <f t="shared" si="3"/>
        <v>0</v>
      </c>
      <c r="U113" s="222">
        <f t="shared" si="4"/>
        <v>0</v>
      </c>
      <c r="V113" s="222">
        <f t="shared" si="5"/>
        <v>0</v>
      </c>
      <c r="W113" s="228">
        <f t="shared" si="6"/>
        <v>0</v>
      </c>
      <c r="X113" s="228"/>
      <c r="Y113" s="762"/>
    </row>
    <row r="114" spans="1:25" ht="14.1" hidden="1" customHeight="1" x14ac:dyDescent="0.25">
      <c r="A114" s="152" t="s">
        <v>216</v>
      </c>
      <c r="B114" s="110"/>
      <c r="C114" s="575"/>
      <c r="D114" s="576"/>
      <c r="E114" s="577"/>
      <c r="F114" s="650">
        <f>D114*E114</f>
        <v>0</v>
      </c>
      <c r="G114" s="35">
        <f>F114*C4</f>
        <v>0</v>
      </c>
      <c r="H114" s="239"/>
      <c r="I114" s="239"/>
      <c r="J114" s="239"/>
      <c r="K114" s="239"/>
      <c r="L114" s="239"/>
      <c r="M114" s="239"/>
      <c r="N114" s="239"/>
      <c r="O114" s="239"/>
      <c r="P114" s="239"/>
      <c r="Q114" s="250"/>
      <c r="R114" s="261"/>
      <c r="S114" s="222">
        <f t="shared" si="2"/>
        <v>0</v>
      </c>
      <c r="T114" s="228">
        <f t="shared" si="3"/>
        <v>0</v>
      </c>
      <c r="U114" s="222">
        <f t="shared" si="4"/>
        <v>0</v>
      </c>
      <c r="V114" s="222">
        <f t="shared" si="5"/>
        <v>0</v>
      </c>
      <c r="W114" s="228">
        <f t="shared" si="6"/>
        <v>0</v>
      </c>
      <c r="X114" s="228"/>
      <c r="Y114" s="762"/>
    </row>
    <row r="115" spans="1:25" ht="14.1" hidden="1" customHeight="1" x14ac:dyDescent="0.25">
      <c r="A115" s="152" t="s">
        <v>217</v>
      </c>
      <c r="B115" s="110"/>
      <c r="C115" s="575"/>
      <c r="D115" s="576"/>
      <c r="E115" s="577"/>
      <c r="F115" s="650">
        <f>D115*E115</f>
        <v>0</v>
      </c>
      <c r="G115" s="35">
        <f>F115*C4</f>
        <v>0</v>
      </c>
      <c r="H115" s="239"/>
      <c r="I115" s="239"/>
      <c r="J115" s="239"/>
      <c r="K115" s="239"/>
      <c r="L115" s="239"/>
      <c r="M115" s="239"/>
      <c r="N115" s="239"/>
      <c r="O115" s="239"/>
      <c r="P115" s="239"/>
      <c r="Q115" s="250"/>
      <c r="R115" s="261"/>
      <c r="S115" s="222">
        <f t="shared" si="2"/>
        <v>0</v>
      </c>
      <c r="T115" s="228">
        <f t="shared" si="3"/>
        <v>0</v>
      </c>
      <c r="U115" s="222">
        <f t="shared" si="4"/>
        <v>0</v>
      </c>
      <c r="V115" s="222">
        <f t="shared" si="5"/>
        <v>0</v>
      </c>
      <c r="W115" s="228">
        <f t="shared" si="6"/>
        <v>0</v>
      </c>
      <c r="X115" s="228"/>
      <c r="Y115" s="762"/>
    </row>
    <row r="116" spans="1:25" ht="14.1" hidden="1" customHeight="1" x14ac:dyDescent="0.25">
      <c r="A116" s="152" t="s">
        <v>218</v>
      </c>
      <c r="B116" s="110"/>
      <c r="C116" s="575"/>
      <c r="D116" s="576"/>
      <c r="E116" s="577"/>
      <c r="F116" s="650">
        <f>D116*E116</f>
        <v>0</v>
      </c>
      <c r="G116" s="35">
        <f>F116*C4</f>
        <v>0</v>
      </c>
      <c r="H116" s="239"/>
      <c r="I116" s="239"/>
      <c r="J116" s="239"/>
      <c r="K116" s="239"/>
      <c r="L116" s="239"/>
      <c r="M116" s="239"/>
      <c r="N116" s="239"/>
      <c r="O116" s="239"/>
      <c r="P116" s="239"/>
      <c r="Q116" s="250"/>
      <c r="R116" s="261"/>
      <c r="S116" s="222">
        <f t="shared" si="2"/>
        <v>0</v>
      </c>
      <c r="T116" s="228">
        <f t="shared" si="3"/>
        <v>0</v>
      </c>
      <c r="U116" s="222">
        <f t="shared" si="4"/>
        <v>0</v>
      </c>
      <c r="V116" s="222">
        <f t="shared" si="5"/>
        <v>0</v>
      </c>
      <c r="W116" s="228">
        <f t="shared" si="6"/>
        <v>0</v>
      </c>
      <c r="X116" s="228"/>
      <c r="Y116" s="762"/>
    </row>
    <row r="117" spans="1:25" ht="14.1" hidden="1" customHeight="1" x14ac:dyDescent="0.25">
      <c r="A117" s="152" t="s">
        <v>219</v>
      </c>
      <c r="B117" s="110"/>
      <c r="C117" s="575"/>
      <c r="D117" s="576"/>
      <c r="E117" s="577"/>
      <c r="F117" s="650">
        <f>D117*E117</f>
        <v>0</v>
      </c>
      <c r="G117" s="35">
        <f>F117*C4</f>
        <v>0</v>
      </c>
      <c r="H117" s="239"/>
      <c r="I117" s="239"/>
      <c r="J117" s="239"/>
      <c r="K117" s="239"/>
      <c r="L117" s="239"/>
      <c r="M117" s="239"/>
      <c r="N117" s="239"/>
      <c r="O117" s="239"/>
      <c r="P117" s="239"/>
      <c r="Q117" s="250"/>
      <c r="R117" s="261"/>
      <c r="S117" s="222">
        <f t="shared" si="2"/>
        <v>0</v>
      </c>
      <c r="T117" s="228">
        <f t="shared" si="3"/>
        <v>0</v>
      </c>
      <c r="U117" s="222">
        <f t="shared" si="4"/>
        <v>0</v>
      </c>
      <c r="V117" s="222">
        <f t="shared" si="5"/>
        <v>0</v>
      </c>
      <c r="W117" s="228">
        <f t="shared" si="6"/>
        <v>0</v>
      </c>
      <c r="X117" s="228"/>
      <c r="Y117" s="762"/>
    </row>
    <row r="118" spans="1:25" ht="14.1" customHeight="1" x14ac:dyDescent="0.25">
      <c r="A118" s="217" t="s">
        <v>104</v>
      </c>
      <c r="B118" s="218" t="s">
        <v>73</v>
      </c>
      <c r="C118" s="567"/>
      <c r="D118" s="568"/>
      <c r="E118" s="569"/>
      <c r="F118" s="570">
        <f>SUM(F119:F123)</f>
        <v>4412006.2</v>
      </c>
      <c r="G118" s="212">
        <f>SUM(G119:G123)</f>
        <v>20604.068953999998</v>
      </c>
      <c r="H118" s="239"/>
      <c r="I118" s="239"/>
      <c r="J118" s="239"/>
      <c r="K118" s="239"/>
      <c r="L118" s="239"/>
      <c r="M118" s="239"/>
      <c r="N118" s="239"/>
      <c r="O118" s="239"/>
      <c r="P118" s="239"/>
      <c r="Q118" s="250"/>
      <c r="R118" s="261"/>
      <c r="S118" s="236">
        <f t="shared" si="2"/>
        <v>-4412006.2</v>
      </c>
      <c r="T118" s="237">
        <f t="shared" si="3"/>
        <v>-1</v>
      </c>
      <c r="U118" s="236">
        <f t="shared" si="4"/>
        <v>0</v>
      </c>
      <c r="V118" s="236">
        <f t="shared" si="5"/>
        <v>-20604.068953999998</v>
      </c>
      <c r="W118" s="237">
        <f t="shared" si="6"/>
        <v>-1</v>
      </c>
      <c r="X118" s="237"/>
      <c r="Y118" s="764"/>
    </row>
    <row r="119" spans="1:25" ht="14.1" customHeight="1" x14ac:dyDescent="0.25">
      <c r="A119" s="152" t="s">
        <v>220</v>
      </c>
      <c r="B119" s="110" t="s">
        <v>867</v>
      </c>
      <c r="C119" s="575" t="s">
        <v>775</v>
      </c>
      <c r="D119" s="576">
        <v>18</v>
      </c>
      <c r="E119" s="577">
        <f>216*C6</f>
        <v>46342.8</v>
      </c>
      <c r="F119" s="650">
        <f>D119*E119</f>
        <v>834170.4</v>
      </c>
      <c r="G119" s="35">
        <f>F119*$C$4</f>
        <v>3895.5757679999997</v>
      </c>
      <c r="H119" s="239"/>
      <c r="I119" s="239"/>
      <c r="J119" s="239"/>
      <c r="K119" s="239"/>
      <c r="L119" s="239"/>
      <c r="M119" s="239"/>
      <c r="N119" s="239"/>
      <c r="O119" s="239"/>
      <c r="P119" s="239"/>
      <c r="Q119" s="250"/>
      <c r="R119" s="261"/>
      <c r="S119" s="222">
        <f t="shared" si="2"/>
        <v>-834170.4</v>
      </c>
      <c r="T119" s="228">
        <f t="shared" si="3"/>
        <v>-1</v>
      </c>
      <c r="U119" s="222">
        <f t="shared" si="4"/>
        <v>0</v>
      </c>
      <c r="V119" s="222">
        <f t="shared" si="5"/>
        <v>-3895.5757679999997</v>
      </c>
      <c r="W119" s="228">
        <f t="shared" si="6"/>
        <v>-1</v>
      </c>
      <c r="X119" s="228"/>
      <c r="Y119" s="762">
        <f>D119*18</f>
        <v>324</v>
      </c>
    </row>
    <row r="120" spans="1:25" ht="14.1" customHeight="1" x14ac:dyDescent="0.25">
      <c r="A120" s="152" t="s">
        <v>221</v>
      </c>
      <c r="B120" s="110" t="s">
        <v>868</v>
      </c>
      <c r="C120" s="575" t="s">
        <v>775</v>
      </c>
      <c r="D120" s="576">
        <v>18</v>
      </c>
      <c r="E120" s="577">
        <f>216*C6</f>
        <v>46342.8</v>
      </c>
      <c r="F120" s="650">
        <f>D120*E120</f>
        <v>834170.4</v>
      </c>
      <c r="G120" s="35">
        <f>F120*$C$4</f>
        <v>3895.5757679999997</v>
      </c>
      <c r="H120" s="239"/>
      <c r="I120" s="239"/>
      <c r="J120" s="239"/>
      <c r="K120" s="239"/>
      <c r="L120" s="239"/>
      <c r="M120" s="239"/>
      <c r="N120" s="239"/>
      <c r="O120" s="239"/>
      <c r="P120" s="239"/>
      <c r="Q120" s="250"/>
      <c r="R120" s="261"/>
      <c r="S120" s="222">
        <f t="shared" si="2"/>
        <v>-834170.4</v>
      </c>
      <c r="T120" s="228">
        <f t="shared" si="3"/>
        <v>-1</v>
      </c>
      <c r="U120" s="222">
        <f t="shared" si="4"/>
        <v>0</v>
      </c>
      <c r="V120" s="222">
        <f t="shared" si="5"/>
        <v>-3895.5757679999997</v>
      </c>
      <c r="W120" s="228">
        <f t="shared" si="6"/>
        <v>-1</v>
      </c>
      <c r="X120" s="228"/>
      <c r="Y120" s="762">
        <f>D120*18</f>
        <v>324</v>
      </c>
    </row>
    <row r="121" spans="1:25" ht="14.1" customHeight="1" x14ac:dyDescent="0.25">
      <c r="A121" s="152" t="s">
        <v>222</v>
      </c>
      <c r="B121" s="110" t="s">
        <v>869</v>
      </c>
      <c r="C121" s="575" t="s">
        <v>775</v>
      </c>
      <c r="D121" s="576">
        <v>18</v>
      </c>
      <c r="E121" s="577">
        <f>116*C6</f>
        <v>24887.800000000003</v>
      </c>
      <c r="F121" s="650">
        <f>D121*E121</f>
        <v>447980.4</v>
      </c>
      <c r="G121" s="35">
        <f>F121*$C$4</f>
        <v>2092.0684679999999</v>
      </c>
      <c r="H121" s="239"/>
      <c r="I121" s="239"/>
      <c r="J121" s="239"/>
      <c r="K121" s="239"/>
      <c r="L121" s="239"/>
      <c r="M121" s="239"/>
      <c r="N121" s="239"/>
      <c r="O121" s="239"/>
      <c r="P121" s="239"/>
      <c r="Q121" s="250"/>
      <c r="R121" s="261"/>
      <c r="S121" s="222">
        <f t="shared" si="2"/>
        <v>-447980.4</v>
      </c>
      <c r="T121" s="228">
        <f t="shared" si="3"/>
        <v>-1</v>
      </c>
      <c r="U121" s="222">
        <f t="shared" si="4"/>
        <v>0</v>
      </c>
      <c r="V121" s="222">
        <f t="shared" si="5"/>
        <v>-2092.0684679999999</v>
      </c>
      <c r="W121" s="228">
        <f t="shared" si="6"/>
        <v>-1</v>
      </c>
      <c r="X121" s="228"/>
      <c r="Y121" s="762">
        <f>D121*18</f>
        <v>324</v>
      </c>
    </row>
    <row r="122" spans="1:25" ht="14.1" customHeight="1" x14ac:dyDescent="0.25">
      <c r="A122" s="152" t="s">
        <v>223</v>
      </c>
      <c r="B122" s="110" t="s">
        <v>870</v>
      </c>
      <c r="C122" s="575" t="s">
        <v>871</v>
      </c>
      <c r="D122" s="576">
        <v>7</v>
      </c>
      <c r="E122" s="577">
        <f>500*C6</f>
        <v>107275</v>
      </c>
      <c r="F122" s="650">
        <f>D122*E122</f>
        <v>750925</v>
      </c>
      <c r="G122" s="35">
        <f>F122*$C$4</f>
        <v>3506.8197499999997</v>
      </c>
      <c r="H122" s="239"/>
      <c r="I122" s="239"/>
      <c r="J122" s="239"/>
      <c r="K122" s="239"/>
      <c r="L122" s="239"/>
      <c r="M122" s="239"/>
      <c r="N122" s="239"/>
      <c r="O122" s="239"/>
      <c r="P122" s="239"/>
      <c r="Q122" s="250"/>
      <c r="R122" s="261"/>
      <c r="S122" s="222">
        <f t="shared" si="2"/>
        <v>-750925</v>
      </c>
      <c r="T122" s="228">
        <f t="shared" si="3"/>
        <v>-1</v>
      </c>
      <c r="U122" s="222">
        <f t="shared" si="4"/>
        <v>0</v>
      </c>
      <c r="V122" s="222">
        <f t="shared" si="5"/>
        <v>-3506.8197499999997</v>
      </c>
      <c r="W122" s="228">
        <f t="shared" si="6"/>
        <v>-1</v>
      </c>
      <c r="X122" s="228"/>
      <c r="Y122" s="762">
        <f>D122*200</f>
        <v>1400</v>
      </c>
    </row>
    <row r="123" spans="1:25" ht="14.1" customHeight="1" x14ac:dyDescent="0.25">
      <c r="A123" s="152" t="s">
        <v>224</v>
      </c>
      <c r="B123" s="110" t="s">
        <v>872</v>
      </c>
      <c r="C123" s="575" t="s">
        <v>399</v>
      </c>
      <c r="D123" s="576">
        <v>9</v>
      </c>
      <c r="E123" s="577">
        <f>(8*100)*C6</f>
        <v>171640</v>
      </c>
      <c r="F123" s="650">
        <f>D123*E123</f>
        <v>1544760</v>
      </c>
      <c r="G123" s="35">
        <f>F123*$C$4</f>
        <v>7214.0291999999999</v>
      </c>
      <c r="H123" s="239"/>
      <c r="I123" s="239"/>
      <c r="J123" s="239"/>
      <c r="K123" s="239"/>
      <c r="L123" s="239"/>
      <c r="M123" s="239"/>
      <c r="N123" s="239"/>
      <c r="O123" s="239"/>
      <c r="P123" s="239"/>
      <c r="Q123" s="250"/>
      <c r="R123" s="261"/>
      <c r="S123" s="222">
        <f t="shared" si="2"/>
        <v>-1544760</v>
      </c>
      <c r="T123" s="228">
        <f t="shared" si="3"/>
        <v>-1</v>
      </c>
      <c r="U123" s="222">
        <f t="shared" si="4"/>
        <v>0</v>
      </c>
      <c r="V123" s="222">
        <f t="shared" si="5"/>
        <v>-7214.0291999999999</v>
      </c>
      <c r="W123" s="228">
        <f t="shared" si="6"/>
        <v>-1</v>
      </c>
      <c r="X123" s="228"/>
      <c r="Y123" s="762">
        <f>D123*5</f>
        <v>45</v>
      </c>
    </row>
    <row r="124" spans="1:25" ht="14.1" customHeight="1" x14ac:dyDescent="0.25">
      <c r="A124" s="217" t="s">
        <v>105</v>
      </c>
      <c r="B124" s="218" t="s">
        <v>58</v>
      </c>
      <c r="C124" s="567"/>
      <c r="D124" s="568"/>
      <c r="E124" s="569"/>
      <c r="F124" s="570">
        <f>SUM(F125:F127)</f>
        <v>33083610.000000004</v>
      </c>
      <c r="G124" s="212">
        <f>SUM(G125:G127)</f>
        <v>154500.45870000002</v>
      </c>
      <c r="H124" s="239"/>
      <c r="I124" s="239"/>
      <c r="J124" s="239"/>
      <c r="K124" s="239"/>
      <c r="L124" s="239"/>
      <c r="M124" s="239"/>
      <c r="N124" s="239"/>
      <c r="O124" s="239"/>
      <c r="P124" s="239"/>
      <c r="Q124" s="250"/>
      <c r="R124" s="261"/>
      <c r="S124" s="236">
        <f t="shared" si="2"/>
        <v>-33083610.000000004</v>
      </c>
      <c r="T124" s="237">
        <f t="shared" si="3"/>
        <v>-1</v>
      </c>
      <c r="U124" s="236">
        <f t="shared" si="4"/>
        <v>0</v>
      </c>
      <c r="V124" s="236">
        <f t="shared" si="5"/>
        <v>-154500.45870000002</v>
      </c>
      <c r="W124" s="237">
        <f t="shared" si="6"/>
        <v>-1</v>
      </c>
      <c r="X124" s="237"/>
      <c r="Y124" s="764"/>
    </row>
    <row r="125" spans="1:25" ht="14.1" customHeight="1" x14ac:dyDescent="0.25">
      <c r="A125" s="152" t="s">
        <v>225</v>
      </c>
      <c r="B125" s="110" t="s">
        <v>873</v>
      </c>
      <c r="C125" s="575" t="s">
        <v>853</v>
      </c>
      <c r="D125" s="576">
        <v>225</v>
      </c>
      <c r="E125" s="577">
        <f>(201*C6)*3</f>
        <v>129373.65000000001</v>
      </c>
      <c r="F125" s="650">
        <f>D125*E125</f>
        <v>29109071.250000004</v>
      </c>
      <c r="G125" s="35">
        <f>F125*$C$4</f>
        <v>135939.36273750002</v>
      </c>
      <c r="H125" s="239"/>
      <c r="I125" s="239"/>
      <c r="J125" s="239"/>
      <c r="K125" s="239"/>
      <c r="L125" s="239"/>
      <c r="M125" s="239"/>
      <c r="N125" s="239"/>
      <c r="O125" s="239"/>
      <c r="P125" s="239"/>
      <c r="Q125" s="250"/>
      <c r="R125" s="261"/>
      <c r="S125" s="222">
        <f t="shared" si="2"/>
        <v>-29109071.250000004</v>
      </c>
      <c r="T125" s="228">
        <f t="shared" si="3"/>
        <v>-1</v>
      </c>
      <c r="U125" s="222">
        <f t="shared" si="4"/>
        <v>0</v>
      </c>
      <c r="V125" s="222">
        <f t="shared" si="5"/>
        <v>-135939.36273750002</v>
      </c>
      <c r="W125" s="228">
        <f t="shared" si="6"/>
        <v>-1</v>
      </c>
      <c r="X125" s="228"/>
      <c r="Y125" s="762">
        <f>D125*5</f>
        <v>1125</v>
      </c>
    </row>
    <row r="126" spans="1:25" ht="14.1" customHeight="1" x14ac:dyDescent="0.25">
      <c r="A126" s="152" t="s">
        <v>226</v>
      </c>
      <c r="B126" s="110" t="s">
        <v>874</v>
      </c>
      <c r="C126" s="575" t="s">
        <v>775</v>
      </c>
      <c r="D126" s="576">
        <f>58/8</f>
        <v>7.25</v>
      </c>
      <c r="E126" s="577">
        <f>1300*C6</f>
        <v>278915</v>
      </c>
      <c r="F126" s="650">
        <f>D126*E126</f>
        <v>2022133.75</v>
      </c>
      <c r="G126" s="35">
        <f>F126*$C$4</f>
        <v>9443.3646124999996</v>
      </c>
      <c r="H126" s="239"/>
      <c r="I126" s="239"/>
      <c r="J126" s="239"/>
      <c r="K126" s="239"/>
      <c r="L126" s="239"/>
      <c r="M126" s="239"/>
      <c r="N126" s="239"/>
      <c r="O126" s="239"/>
      <c r="P126" s="239"/>
      <c r="Q126" s="250"/>
      <c r="R126" s="261"/>
      <c r="S126" s="222">
        <f t="shared" si="2"/>
        <v>-2022133.75</v>
      </c>
      <c r="T126" s="228">
        <f t="shared" si="3"/>
        <v>-1</v>
      </c>
      <c r="U126" s="222">
        <f t="shared" si="4"/>
        <v>0</v>
      </c>
      <c r="V126" s="222">
        <f t="shared" si="5"/>
        <v>-9443.3646124999996</v>
      </c>
      <c r="W126" s="228">
        <f t="shared" si="6"/>
        <v>-1</v>
      </c>
      <c r="X126" s="228"/>
      <c r="Y126" s="762">
        <f>D126*8*5</f>
        <v>290</v>
      </c>
    </row>
    <row r="127" spans="1:25" ht="14.1" customHeight="1" x14ac:dyDescent="0.25">
      <c r="A127" s="152" t="s">
        <v>227</v>
      </c>
      <c r="B127" s="110" t="s">
        <v>875</v>
      </c>
      <c r="C127" s="575" t="s">
        <v>876</v>
      </c>
      <c r="D127" s="576">
        <v>7</v>
      </c>
      <c r="E127" s="577">
        <f>1300*C6</f>
        <v>278915</v>
      </c>
      <c r="F127" s="650">
        <f>D127*E127</f>
        <v>1952405</v>
      </c>
      <c r="G127" s="35">
        <f>F127*$C$4</f>
        <v>9117.73135</v>
      </c>
      <c r="H127" s="239"/>
      <c r="I127" s="239"/>
      <c r="J127" s="239"/>
      <c r="K127" s="239"/>
      <c r="L127" s="239"/>
      <c r="M127" s="239"/>
      <c r="N127" s="239"/>
      <c r="O127" s="239"/>
      <c r="P127" s="239"/>
      <c r="Q127" s="250"/>
      <c r="R127" s="261"/>
      <c r="S127" s="222">
        <f t="shared" si="2"/>
        <v>-1952405</v>
      </c>
      <c r="T127" s="228">
        <f t="shared" si="3"/>
        <v>-1</v>
      </c>
      <c r="U127" s="222">
        <f t="shared" si="4"/>
        <v>0</v>
      </c>
      <c r="V127" s="222">
        <f t="shared" si="5"/>
        <v>-9117.73135</v>
      </c>
      <c r="W127" s="228">
        <f t="shared" si="6"/>
        <v>-1</v>
      </c>
      <c r="X127" s="228"/>
      <c r="Y127" s="762">
        <f>(D127*6)*5</f>
        <v>210</v>
      </c>
    </row>
    <row r="128" spans="1:25" ht="14.1" customHeight="1" x14ac:dyDescent="0.25">
      <c r="A128" s="217" t="s">
        <v>106</v>
      </c>
      <c r="B128" s="218" t="s">
        <v>57</v>
      </c>
      <c r="C128" s="567"/>
      <c r="D128" s="568"/>
      <c r="E128" s="569"/>
      <c r="F128" s="570">
        <f>SUM(F129:F130)</f>
        <v>14267575</v>
      </c>
      <c r="G128" s="212">
        <f>SUM(G129:G130)</f>
        <v>66629.575249999994</v>
      </c>
      <c r="H128" s="239"/>
      <c r="I128" s="239"/>
      <c r="J128" s="239"/>
      <c r="K128" s="239"/>
      <c r="L128" s="239"/>
      <c r="M128" s="239"/>
      <c r="N128" s="239"/>
      <c r="O128" s="239"/>
      <c r="P128" s="239"/>
      <c r="Q128" s="250"/>
      <c r="R128" s="261"/>
      <c r="S128" s="236">
        <f t="shared" si="2"/>
        <v>-14267575</v>
      </c>
      <c r="T128" s="237">
        <f t="shared" si="3"/>
        <v>-1</v>
      </c>
      <c r="U128" s="236">
        <f t="shared" si="4"/>
        <v>0</v>
      </c>
      <c r="V128" s="236">
        <f t="shared" si="5"/>
        <v>-66629.575249999994</v>
      </c>
      <c r="W128" s="237">
        <f t="shared" si="6"/>
        <v>-1</v>
      </c>
      <c r="X128" s="237"/>
      <c r="Y128" s="764"/>
    </row>
    <row r="129" spans="1:25" ht="14.1" customHeight="1" x14ac:dyDescent="0.25">
      <c r="A129" s="152" t="s">
        <v>230</v>
      </c>
      <c r="B129" s="110" t="s">
        <v>877</v>
      </c>
      <c r="C129" s="575" t="s">
        <v>878</v>
      </c>
      <c r="D129" s="576">
        <v>3</v>
      </c>
      <c r="E129" s="577">
        <f>20000*C6</f>
        <v>4291000</v>
      </c>
      <c r="F129" s="650">
        <f>D129*E129</f>
        <v>12873000</v>
      </c>
      <c r="G129" s="35">
        <f>F129*$C$4</f>
        <v>60116.909999999996</v>
      </c>
      <c r="H129" s="239"/>
      <c r="I129" s="239"/>
      <c r="J129" s="239"/>
      <c r="K129" s="239"/>
      <c r="L129" s="239"/>
      <c r="M129" s="239"/>
      <c r="N129" s="239"/>
      <c r="O129" s="239"/>
      <c r="P129" s="239"/>
      <c r="Q129" s="250"/>
      <c r="R129" s="261"/>
      <c r="S129" s="222">
        <f t="shared" si="2"/>
        <v>-12873000</v>
      </c>
      <c r="T129" s="228">
        <f t="shared" si="3"/>
        <v>-1</v>
      </c>
      <c r="U129" s="222">
        <f t="shared" si="4"/>
        <v>0</v>
      </c>
      <c r="V129" s="222">
        <f t="shared" si="5"/>
        <v>-60116.909999999996</v>
      </c>
      <c r="W129" s="228">
        <f t="shared" si="6"/>
        <v>-1</v>
      </c>
      <c r="X129" s="228"/>
      <c r="Y129" s="762">
        <f>D129*400</f>
        <v>1200</v>
      </c>
    </row>
    <row r="130" spans="1:25" ht="14.1" customHeight="1" x14ac:dyDescent="0.25">
      <c r="A130" s="152" t="s">
        <v>231</v>
      </c>
      <c r="B130" s="110" t="s">
        <v>879</v>
      </c>
      <c r="C130" s="575" t="s">
        <v>468</v>
      </c>
      <c r="D130" s="576">
        <v>500</v>
      </c>
      <c r="E130" s="577">
        <f>13*C6</f>
        <v>2789.15</v>
      </c>
      <c r="F130" s="650">
        <f>D130*E130</f>
        <v>1394575</v>
      </c>
      <c r="G130" s="35">
        <f>F130*$C$4</f>
        <v>6512.6652499999991</v>
      </c>
      <c r="H130" s="239"/>
      <c r="I130" s="239"/>
      <c r="J130" s="239"/>
      <c r="K130" s="239"/>
      <c r="L130" s="239"/>
      <c r="M130" s="239"/>
      <c r="N130" s="239"/>
      <c r="O130" s="239"/>
      <c r="P130" s="239"/>
      <c r="Q130" s="250"/>
      <c r="R130" s="261"/>
      <c r="S130" s="222">
        <f t="shared" si="2"/>
        <v>-1394575</v>
      </c>
      <c r="T130" s="228">
        <f t="shared" si="3"/>
        <v>-1</v>
      </c>
      <c r="U130" s="222">
        <f t="shared" si="4"/>
        <v>0</v>
      </c>
      <c r="V130" s="222">
        <f t="shared" si="5"/>
        <v>-6512.6652499999991</v>
      </c>
      <c r="W130" s="228">
        <f t="shared" si="6"/>
        <v>-1</v>
      </c>
      <c r="X130" s="228"/>
      <c r="Y130" s="762">
        <f>D130</f>
        <v>500</v>
      </c>
    </row>
    <row r="131" spans="1:25" ht="14.1" customHeight="1" x14ac:dyDescent="0.25">
      <c r="A131" s="217" t="s">
        <v>107</v>
      </c>
      <c r="B131" s="218" t="s">
        <v>74</v>
      </c>
      <c r="C131" s="567"/>
      <c r="D131" s="568"/>
      <c r="E131" s="569"/>
      <c r="F131" s="570">
        <f>SUM(F132:F136)</f>
        <v>0</v>
      </c>
      <c r="G131" s="212">
        <f>SUM(G132:G136)</f>
        <v>0</v>
      </c>
      <c r="H131" s="239"/>
      <c r="I131" s="239"/>
      <c r="J131" s="239"/>
      <c r="K131" s="239"/>
      <c r="L131" s="239"/>
      <c r="M131" s="239"/>
      <c r="N131" s="239"/>
      <c r="O131" s="239"/>
      <c r="P131" s="239"/>
      <c r="Q131" s="250"/>
      <c r="R131" s="261"/>
      <c r="S131" s="236">
        <f t="shared" si="2"/>
        <v>0</v>
      </c>
      <c r="T131" s="237">
        <f t="shared" si="3"/>
        <v>0</v>
      </c>
      <c r="U131" s="236">
        <f t="shared" si="4"/>
        <v>0</v>
      </c>
      <c r="V131" s="236">
        <f t="shared" si="5"/>
        <v>0</v>
      </c>
      <c r="W131" s="237">
        <f t="shared" si="6"/>
        <v>0</v>
      </c>
      <c r="X131" s="237"/>
      <c r="Y131" s="764"/>
    </row>
    <row r="132" spans="1:25" ht="14.1" hidden="1" customHeight="1" x14ac:dyDescent="0.25">
      <c r="A132" s="152" t="s">
        <v>235</v>
      </c>
      <c r="B132" s="110" t="s">
        <v>287</v>
      </c>
      <c r="C132" s="575"/>
      <c r="D132" s="576"/>
      <c r="E132" s="577"/>
      <c r="F132" s="650">
        <f>D132*E132</f>
        <v>0</v>
      </c>
      <c r="G132" s="35">
        <f>F132*C4</f>
        <v>0</v>
      </c>
      <c r="H132" s="239"/>
      <c r="I132" s="239"/>
      <c r="J132" s="239"/>
      <c r="K132" s="239"/>
      <c r="L132" s="239"/>
      <c r="M132" s="239"/>
      <c r="N132" s="239"/>
      <c r="O132" s="239"/>
      <c r="P132" s="239"/>
      <c r="Q132" s="250"/>
      <c r="R132" s="261"/>
      <c r="S132" s="222">
        <f t="shared" si="2"/>
        <v>0</v>
      </c>
      <c r="T132" s="228">
        <f t="shared" si="3"/>
        <v>0</v>
      </c>
      <c r="U132" s="222">
        <f t="shared" si="4"/>
        <v>0</v>
      </c>
      <c r="V132" s="222">
        <f t="shared" si="5"/>
        <v>0</v>
      </c>
      <c r="W132" s="228">
        <f t="shared" si="6"/>
        <v>0</v>
      </c>
      <c r="X132" s="228"/>
      <c r="Y132" s="762"/>
    </row>
    <row r="133" spans="1:25" ht="14.1" hidden="1" customHeight="1" x14ac:dyDescent="0.25">
      <c r="A133" s="152" t="s">
        <v>236</v>
      </c>
      <c r="B133" s="110" t="s">
        <v>288</v>
      </c>
      <c r="C133" s="575"/>
      <c r="D133" s="576"/>
      <c r="E133" s="577"/>
      <c r="F133" s="650">
        <f>D133*E133</f>
        <v>0</v>
      </c>
      <c r="G133" s="35">
        <f>F133*C4</f>
        <v>0</v>
      </c>
      <c r="H133" s="239"/>
      <c r="I133" s="239"/>
      <c r="J133" s="239"/>
      <c r="K133" s="239"/>
      <c r="L133" s="239"/>
      <c r="M133" s="239"/>
      <c r="N133" s="239"/>
      <c r="O133" s="239"/>
      <c r="P133" s="239"/>
      <c r="Q133" s="250"/>
      <c r="R133" s="261"/>
      <c r="S133" s="222">
        <f t="shared" ref="S133:S198" si="9">R133-F133</f>
        <v>0</v>
      </c>
      <c r="T133" s="228">
        <f t="shared" ref="T133:T198" si="10">IF(F133=0,0,S133/F133)</f>
        <v>0</v>
      </c>
      <c r="U133" s="222">
        <f t="shared" ref="U133:U198" si="11">R133*$C$4</f>
        <v>0</v>
      </c>
      <c r="V133" s="222">
        <f t="shared" ref="V133:V198" si="12">U133-G133</f>
        <v>0</v>
      </c>
      <c r="W133" s="228">
        <f t="shared" ref="W133:W198" si="13">IF(G133=0,0,V133/G133)</f>
        <v>0</v>
      </c>
      <c r="X133" s="228"/>
      <c r="Y133" s="762"/>
    </row>
    <row r="134" spans="1:25" ht="14.1" hidden="1" customHeight="1" x14ac:dyDescent="0.25">
      <c r="A134" s="152" t="s">
        <v>237</v>
      </c>
      <c r="B134" s="110" t="s">
        <v>289</v>
      </c>
      <c r="C134" s="575"/>
      <c r="D134" s="576"/>
      <c r="E134" s="577"/>
      <c r="F134" s="650">
        <f>D134*E134</f>
        <v>0</v>
      </c>
      <c r="G134" s="35">
        <f>F134*C4</f>
        <v>0</v>
      </c>
      <c r="H134" s="239"/>
      <c r="I134" s="239"/>
      <c r="J134" s="239"/>
      <c r="K134" s="239"/>
      <c r="L134" s="239"/>
      <c r="M134" s="239"/>
      <c r="N134" s="239"/>
      <c r="O134" s="239"/>
      <c r="P134" s="239"/>
      <c r="Q134" s="250"/>
      <c r="R134" s="261"/>
      <c r="S134" s="222">
        <f t="shared" si="9"/>
        <v>0</v>
      </c>
      <c r="T134" s="228">
        <f t="shared" si="10"/>
        <v>0</v>
      </c>
      <c r="U134" s="222">
        <f t="shared" si="11"/>
        <v>0</v>
      </c>
      <c r="V134" s="222">
        <f t="shared" si="12"/>
        <v>0</v>
      </c>
      <c r="W134" s="228">
        <f t="shared" si="13"/>
        <v>0</v>
      </c>
      <c r="X134" s="228"/>
      <c r="Y134" s="762"/>
    </row>
    <row r="135" spans="1:25" ht="14.1" hidden="1" customHeight="1" x14ac:dyDescent="0.25">
      <c r="A135" s="152" t="s">
        <v>238</v>
      </c>
      <c r="B135" s="110" t="s">
        <v>290</v>
      </c>
      <c r="C135" s="575"/>
      <c r="D135" s="576"/>
      <c r="E135" s="577"/>
      <c r="F135" s="650">
        <f>D135*E135</f>
        <v>0</v>
      </c>
      <c r="G135" s="35">
        <f>F135*C4</f>
        <v>0</v>
      </c>
      <c r="H135" s="239"/>
      <c r="I135" s="239"/>
      <c r="J135" s="239"/>
      <c r="K135" s="239"/>
      <c r="L135" s="239"/>
      <c r="M135" s="239"/>
      <c r="N135" s="239"/>
      <c r="O135" s="239"/>
      <c r="P135" s="239"/>
      <c r="Q135" s="250"/>
      <c r="R135" s="261"/>
      <c r="S135" s="222">
        <f t="shared" si="9"/>
        <v>0</v>
      </c>
      <c r="T135" s="228">
        <f t="shared" si="10"/>
        <v>0</v>
      </c>
      <c r="U135" s="222">
        <f t="shared" si="11"/>
        <v>0</v>
      </c>
      <c r="V135" s="222">
        <f t="shared" si="12"/>
        <v>0</v>
      </c>
      <c r="W135" s="228">
        <f t="shared" si="13"/>
        <v>0</v>
      </c>
      <c r="X135" s="228"/>
      <c r="Y135" s="762"/>
    </row>
    <row r="136" spans="1:25" ht="14.1" hidden="1" customHeight="1" x14ac:dyDescent="0.25">
      <c r="A136" s="152" t="s">
        <v>239</v>
      </c>
      <c r="B136" s="110" t="s">
        <v>291</v>
      </c>
      <c r="C136" s="575"/>
      <c r="D136" s="576"/>
      <c r="E136" s="577"/>
      <c r="F136" s="650">
        <f>D136*E136</f>
        <v>0</v>
      </c>
      <c r="G136" s="35">
        <f>F136*C4</f>
        <v>0</v>
      </c>
      <c r="H136" s="239"/>
      <c r="I136" s="239"/>
      <c r="J136" s="239"/>
      <c r="K136" s="239"/>
      <c r="L136" s="239"/>
      <c r="M136" s="239"/>
      <c r="N136" s="239"/>
      <c r="O136" s="239"/>
      <c r="P136" s="239"/>
      <c r="Q136" s="250"/>
      <c r="R136" s="261"/>
      <c r="S136" s="222">
        <f t="shared" si="9"/>
        <v>0</v>
      </c>
      <c r="T136" s="228">
        <f t="shared" si="10"/>
        <v>0</v>
      </c>
      <c r="U136" s="222">
        <f t="shared" si="11"/>
        <v>0</v>
      </c>
      <c r="V136" s="222">
        <f t="shared" si="12"/>
        <v>0</v>
      </c>
      <c r="W136" s="228">
        <f t="shared" si="13"/>
        <v>0</v>
      </c>
      <c r="X136" s="228"/>
      <c r="Y136" s="762"/>
    </row>
    <row r="137" spans="1:25" ht="14.1" customHeight="1" x14ac:dyDescent="0.25">
      <c r="A137" s="217" t="s">
        <v>108</v>
      </c>
      <c r="B137" s="218" t="s">
        <v>75</v>
      </c>
      <c r="C137" s="567"/>
      <c r="D137" s="568"/>
      <c r="E137" s="569"/>
      <c r="F137" s="570">
        <f>SUM(F138:F142)</f>
        <v>0</v>
      </c>
      <c r="G137" s="212">
        <f>SUM(G138:G142)</f>
        <v>0</v>
      </c>
      <c r="H137" s="239"/>
      <c r="I137" s="239"/>
      <c r="J137" s="239"/>
      <c r="K137" s="239"/>
      <c r="L137" s="239"/>
      <c r="M137" s="239"/>
      <c r="N137" s="239"/>
      <c r="O137" s="239"/>
      <c r="P137" s="239"/>
      <c r="Q137" s="250"/>
      <c r="R137" s="261"/>
      <c r="S137" s="236">
        <f t="shared" si="9"/>
        <v>0</v>
      </c>
      <c r="T137" s="237">
        <f t="shared" si="10"/>
        <v>0</v>
      </c>
      <c r="U137" s="236">
        <f t="shared" si="11"/>
        <v>0</v>
      </c>
      <c r="V137" s="236">
        <f t="shared" si="12"/>
        <v>0</v>
      </c>
      <c r="W137" s="237">
        <f t="shared" si="13"/>
        <v>0</v>
      </c>
      <c r="X137" s="237"/>
      <c r="Y137" s="764"/>
    </row>
    <row r="138" spans="1:25" ht="14.1" hidden="1" customHeight="1" x14ac:dyDescent="0.25">
      <c r="A138" s="157" t="s">
        <v>240</v>
      </c>
      <c r="B138" s="110" t="s">
        <v>292</v>
      </c>
      <c r="C138" s="575"/>
      <c r="D138" s="576"/>
      <c r="E138" s="577"/>
      <c r="F138" s="650">
        <f>D138*E138</f>
        <v>0</v>
      </c>
      <c r="G138" s="35">
        <f>F138*C4</f>
        <v>0</v>
      </c>
      <c r="H138" s="239"/>
      <c r="I138" s="239"/>
      <c r="J138" s="239"/>
      <c r="K138" s="239"/>
      <c r="L138" s="239"/>
      <c r="M138" s="239"/>
      <c r="N138" s="239"/>
      <c r="O138" s="239"/>
      <c r="P138" s="239"/>
      <c r="Q138" s="250"/>
      <c r="R138" s="261"/>
      <c r="S138" s="222">
        <f t="shared" si="9"/>
        <v>0</v>
      </c>
      <c r="T138" s="228">
        <f t="shared" si="10"/>
        <v>0</v>
      </c>
      <c r="U138" s="222">
        <f t="shared" si="11"/>
        <v>0</v>
      </c>
      <c r="V138" s="222">
        <f t="shared" si="12"/>
        <v>0</v>
      </c>
      <c r="W138" s="228">
        <f t="shared" si="13"/>
        <v>0</v>
      </c>
      <c r="X138" s="228"/>
      <c r="Y138" s="762"/>
    </row>
    <row r="139" spans="1:25" ht="14.1" hidden="1" customHeight="1" x14ac:dyDescent="0.25">
      <c r="A139" s="157" t="s">
        <v>241</v>
      </c>
      <c r="B139" s="110" t="s">
        <v>293</v>
      </c>
      <c r="C139" s="575"/>
      <c r="D139" s="576"/>
      <c r="E139" s="577"/>
      <c r="F139" s="650">
        <f>D139*E139</f>
        <v>0</v>
      </c>
      <c r="G139" s="35">
        <f>F139*C4</f>
        <v>0</v>
      </c>
      <c r="H139" s="239"/>
      <c r="I139" s="239"/>
      <c r="J139" s="239"/>
      <c r="K139" s="239"/>
      <c r="L139" s="239"/>
      <c r="M139" s="239"/>
      <c r="N139" s="239"/>
      <c r="O139" s="239"/>
      <c r="P139" s="239"/>
      <c r="Q139" s="250"/>
      <c r="R139" s="261"/>
      <c r="S139" s="222">
        <f t="shared" si="9"/>
        <v>0</v>
      </c>
      <c r="T139" s="228">
        <f t="shared" si="10"/>
        <v>0</v>
      </c>
      <c r="U139" s="222">
        <f t="shared" si="11"/>
        <v>0</v>
      </c>
      <c r="V139" s="222">
        <f t="shared" si="12"/>
        <v>0</v>
      </c>
      <c r="W139" s="228">
        <f t="shared" si="13"/>
        <v>0</v>
      </c>
      <c r="X139" s="228"/>
      <c r="Y139" s="762"/>
    </row>
    <row r="140" spans="1:25" ht="14.1" hidden="1" customHeight="1" x14ac:dyDescent="0.25">
      <c r="A140" s="157" t="s">
        <v>242</v>
      </c>
      <c r="B140" s="110" t="s">
        <v>294</v>
      </c>
      <c r="C140" s="575"/>
      <c r="D140" s="576"/>
      <c r="E140" s="577"/>
      <c r="F140" s="650">
        <f>D140*E140</f>
        <v>0</v>
      </c>
      <c r="G140" s="35">
        <f>F140*C4</f>
        <v>0</v>
      </c>
      <c r="H140" s="239"/>
      <c r="I140" s="239"/>
      <c r="J140" s="239"/>
      <c r="K140" s="239"/>
      <c r="L140" s="239"/>
      <c r="M140" s="239"/>
      <c r="N140" s="239"/>
      <c r="O140" s="239"/>
      <c r="P140" s="239"/>
      <c r="Q140" s="250"/>
      <c r="R140" s="261"/>
      <c r="S140" s="222">
        <f t="shared" si="9"/>
        <v>0</v>
      </c>
      <c r="T140" s="228">
        <f t="shared" si="10"/>
        <v>0</v>
      </c>
      <c r="U140" s="222">
        <f t="shared" si="11"/>
        <v>0</v>
      </c>
      <c r="V140" s="222">
        <f t="shared" si="12"/>
        <v>0</v>
      </c>
      <c r="W140" s="228">
        <f t="shared" si="13"/>
        <v>0</v>
      </c>
      <c r="X140" s="228"/>
      <c r="Y140" s="762"/>
    </row>
    <row r="141" spans="1:25" ht="14.1" hidden="1" customHeight="1" x14ac:dyDescent="0.25">
      <c r="A141" s="157" t="s">
        <v>243</v>
      </c>
      <c r="B141" s="110" t="s">
        <v>295</v>
      </c>
      <c r="C141" s="575"/>
      <c r="D141" s="576"/>
      <c r="E141" s="577"/>
      <c r="F141" s="650">
        <f>D141*E141</f>
        <v>0</v>
      </c>
      <c r="G141" s="35">
        <f>F141*C4</f>
        <v>0</v>
      </c>
      <c r="H141" s="239"/>
      <c r="I141" s="239"/>
      <c r="J141" s="239"/>
      <c r="K141" s="239"/>
      <c r="L141" s="239"/>
      <c r="M141" s="239"/>
      <c r="N141" s="239"/>
      <c r="O141" s="239"/>
      <c r="P141" s="239"/>
      <c r="Q141" s="250"/>
      <c r="R141" s="261"/>
      <c r="S141" s="222">
        <f t="shared" si="9"/>
        <v>0</v>
      </c>
      <c r="T141" s="228">
        <f t="shared" si="10"/>
        <v>0</v>
      </c>
      <c r="U141" s="222">
        <f t="shared" si="11"/>
        <v>0</v>
      </c>
      <c r="V141" s="222">
        <f t="shared" si="12"/>
        <v>0</v>
      </c>
      <c r="W141" s="228">
        <f t="shared" si="13"/>
        <v>0</v>
      </c>
      <c r="X141" s="228"/>
      <c r="Y141" s="762"/>
    </row>
    <row r="142" spans="1:25" ht="14.1" hidden="1" customHeight="1" x14ac:dyDescent="0.25">
      <c r="A142" s="157" t="s">
        <v>244</v>
      </c>
      <c r="B142" s="110" t="s">
        <v>296</v>
      </c>
      <c r="C142" s="575"/>
      <c r="D142" s="576"/>
      <c r="E142" s="577"/>
      <c r="F142" s="650">
        <f>D142*E142</f>
        <v>0</v>
      </c>
      <c r="G142" s="35">
        <f>F142*C4</f>
        <v>0</v>
      </c>
      <c r="H142" s="239"/>
      <c r="I142" s="239"/>
      <c r="J142" s="239"/>
      <c r="K142" s="239"/>
      <c r="L142" s="239"/>
      <c r="M142" s="239"/>
      <c r="N142" s="239"/>
      <c r="O142" s="239"/>
      <c r="P142" s="239"/>
      <c r="Q142" s="250"/>
      <c r="R142" s="261"/>
      <c r="S142" s="222">
        <f t="shared" si="9"/>
        <v>0</v>
      </c>
      <c r="T142" s="228">
        <f t="shared" si="10"/>
        <v>0</v>
      </c>
      <c r="U142" s="222">
        <f t="shared" si="11"/>
        <v>0</v>
      </c>
      <c r="V142" s="222">
        <f t="shared" si="12"/>
        <v>0</v>
      </c>
      <c r="W142" s="228">
        <f t="shared" si="13"/>
        <v>0</v>
      </c>
      <c r="X142" s="228"/>
      <c r="Y142" s="762"/>
    </row>
    <row r="143" spans="1:25" ht="14.1" customHeight="1" x14ac:dyDescent="0.25">
      <c r="A143" s="217" t="s">
        <v>109</v>
      </c>
      <c r="B143" s="218" t="s">
        <v>76</v>
      </c>
      <c r="C143" s="567"/>
      <c r="D143" s="568"/>
      <c r="E143" s="569"/>
      <c r="F143" s="570">
        <f>SUM(F144:F148)</f>
        <v>0</v>
      </c>
      <c r="G143" s="212">
        <f>SUM(G144:G148)</f>
        <v>0</v>
      </c>
      <c r="H143" s="239"/>
      <c r="I143" s="239"/>
      <c r="J143" s="239"/>
      <c r="K143" s="239"/>
      <c r="L143" s="239"/>
      <c r="M143" s="239"/>
      <c r="N143" s="239"/>
      <c r="O143" s="239"/>
      <c r="P143" s="239"/>
      <c r="Q143" s="250"/>
      <c r="R143" s="261"/>
      <c r="S143" s="236">
        <f t="shared" si="9"/>
        <v>0</v>
      </c>
      <c r="T143" s="237">
        <f t="shared" si="10"/>
        <v>0</v>
      </c>
      <c r="U143" s="236">
        <f t="shared" si="11"/>
        <v>0</v>
      </c>
      <c r="V143" s="236">
        <f t="shared" si="12"/>
        <v>0</v>
      </c>
      <c r="W143" s="237">
        <f t="shared" si="13"/>
        <v>0</v>
      </c>
      <c r="X143" s="237"/>
      <c r="Y143" s="764"/>
    </row>
    <row r="144" spans="1:25" ht="14.1" hidden="1" customHeight="1" x14ac:dyDescent="0.25">
      <c r="A144" s="152" t="s">
        <v>245</v>
      </c>
      <c r="B144" s="110" t="s">
        <v>297</v>
      </c>
      <c r="C144" s="575"/>
      <c r="D144" s="576"/>
      <c r="E144" s="577"/>
      <c r="F144" s="650">
        <f>D144*E144</f>
        <v>0</v>
      </c>
      <c r="G144" s="35">
        <f>F144*C4</f>
        <v>0</v>
      </c>
      <c r="H144" s="239"/>
      <c r="I144" s="239"/>
      <c r="J144" s="239"/>
      <c r="K144" s="239"/>
      <c r="L144" s="239"/>
      <c r="M144" s="239"/>
      <c r="N144" s="239"/>
      <c r="O144" s="239"/>
      <c r="P144" s="239"/>
      <c r="Q144" s="250"/>
      <c r="R144" s="261"/>
      <c r="S144" s="222">
        <f t="shared" si="9"/>
        <v>0</v>
      </c>
      <c r="T144" s="228">
        <f t="shared" si="10"/>
        <v>0</v>
      </c>
      <c r="U144" s="222">
        <f t="shared" si="11"/>
        <v>0</v>
      </c>
      <c r="V144" s="222">
        <f t="shared" si="12"/>
        <v>0</v>
      </c>
      <c r="W144" s="228">
        <f t="shared" si="13"/>
        <v>0</v>
      </c>
      <c r="X144" s="228"/>
      <c r="Y144" s="762"/>
    </row>
    <row r="145" spans="1:27" ht="14.1" hidden="1" customHeight="1" x14ac:dyDescent="0.25">
      <c r="A145" s="152" t="s">
        <v>246</v>
      </c>
      <c r="B145" s="110" t="s">
        <v>301</v>
      </c>
      <c r="C145" s="575"/>
      <c r="D145" s="576"/>
      <c r="E145" s="577"/>
      <c r="F145" s="650">
        <f>D145*E145</f>
        <v>0</v>
      </c>
      <c r="G145" s="35">
        <f>F145*C4</f>
        <v>0</v>
      </c>
      <c r="H145" s="239"/>
      <c r="I145" s="239"/>
      <c r="J145" s="239"/>
      <c r="K145" s="239"/>
      <c r="L145" s="239"/>
      <c r="M145" s="239"/>
      <c r="N145" s="239"/>
      <c r="O145" s="239"/>
      <c r="P145" s="239"/>
      <c r="Q145" s="250"/>
      <c r="R145" s="261"/>
      <c r="S145" s="222">
        <f t="shared" si="9"/>
        <v>0</v>
      </c>
      <c r="T145" s="228">
        <f t="shared" si="10"/>
        <v>0</v>
      </c>
      <c r="U145" s="222">
        <f t="shared" si="11"/>
        <v>0</v>
      </c>
      <c r="V145" s="222">
        <f t="shared" si="12"/>
        <v>0</v>
      </c>
      <c r="W145" s="228">
        <f t="shared" si="13"/>
        <v>0</v>
      </c>
      <c r="X145" s="228"/>
      <c r="Y145" s="762"/>
    </row>
    <row r="146" spans="1:27" ht="14.1" hidden="1" customHeight="1" x14ac:dyDescent="0.25">
      <c r="A146" s="152" t="s">
        <v>247</v>
      </c>
      <c r="B146" s="110" t="s">
        <v>300</v>
      </c>
      <c r="C146" s="575"/>
      <c r="D146" s="576"/>
      <c r="E146" s="577"/>
      <c r="F146" s="650">
        <f>D146*E146</f>
        <v>0</v>
      </c>
      <c r="G146" s="35">
        <f>F146*C4</f>
        <v>0</v>
      </c>
      <c r="H146" s="239"/>
      <c r="I146" s="239"/>
      <c r="J146" s="239"/>
      <c r="K146" s="239"/>
      <c r="L146" s="239"/>
      <c r="M146" s="239"/>
      <c r="N146" s="239"/>
      <c r="O146" s="239"/>
      <c r="P146" s="239"/>
      <c r="Q146" s="250"/>
      <c r="R146" s="261"/>
      <c r="S146" s="222">
        <f t="shared" si="9"/>
        <v>0</v>
      </c>
      <c r="T146" s="228">
        <f t="shared" si="10"/>
        <v>0</v>
      </c>
      <c r="U146" s="222">
        <f t="shared" si="11"/>
        <v>0</v>
      </c>
      <c r="V146" s="222">
        <f t="shared" si="12"/>
        <v>0</v>
      </c>
      <c r="W146" s="228">
        <f t="shared" si="13"/>
        <v>0</v>
      </c>
      <c r="X146" s="228"/>
      <c r="Y146" s="762"/>
    </row>
    <row r="147" spans="1:27" ht="14.1" hidden="1" customHeight="1" x14ac:dyDescent="0.25">
      <c r="A147" s="152" t="s">
        <v>248</v>
      </c>
      <c r="B147" s="110" t="s">
        <v>299</v>
      </c>
      <c r="C147" s="575"/>
      <c r="D147" s="576"/>
      <c r="E147" s="577"/>
      <c r="F147" s="650">
        <f>D147*E147</f>
        <v>0</v>
      </c>
      <c r="G147" s="35">
        <f>F147*C4</f>
        <v>0</v>
      </c>
      <c r="H147" s="239"/>
      <c r="I147" s="239"/>
      <c r="J147" s="239"/>
      <c r="K147" s="239"/>
      <c r="L147" s="239"/>
      <c r="M147" s="239"/>
      <c r="N147" s="239"/>
      <c r="O147" s="239"/>
      <c r="P147" s="239"/>
      <c r="Q147" s="250"/>
      <c r="R147" s="261"/>
      <c r="S147" s="222">
        <f t="shared" si="9"/>
        <v>0</v>
      </c>
      <c r="T147" s="228">
        <f t="shared" si="10"/>
        <v>0</v>
      </c>
      <c r="U147" s="222">
        <f t="shared" si="11"/>
        <v>0</v>
      </c>
      <c r="V147" s="222">
        <f t="shared" si="12"/>
        <v>0</v>
      </c>
      <c r="W147" s="228">
        <f t="shared" si="13"/>
        <v>0</v>
      </c>
      <c r="X147" s="228"/>
      <c r="Y147" s="762"/>
    </row>
    <row r="148" spans="1:27" ht="14.1" hidden="1" customHeight="1" x14ac:dyDescent="0.25">
      <c r="A148" s="152" t="s">
        <v>249</v>
      </c>
      <c r="B148" s="110" t="s">
        <v>298</v>
      </c>
      <c r="C148" s="575"/>
      <c r="D148" s="576"/>
      <c r="E148" s="577"/>
      <c r="F148" s="650">
        <f>D148*E148</f>
        <v>0</v>
      </c>
      <c r="G148" s="35">
        <f>F148*C4</f>
        <v>0</v>
      </c>
      <c r="H148" s="239"/>
      <c r="I148" s="239"/>
      <c r="J148" s="239"/>
      <c r="K148" s="239"/>
      <c r="L148" s="239"/>
      <c r="M148" s="239"/>
      <c r="N148" s="239"/>
      <c r="O148" s="239"/>
      <c r="P148" s="239"/>
      <c r="Q148" s="250"/>
      <c r="R148" s="261"/>
      <c r="S148" s="222">
        <f t="shared" si="9"/>
        <v>0</v>
      </c>
      <c r="T148" s="228">
        <f t="shared" si="10"/>
        <v>0</v>
      </c>
      <c r="U148" s="222">
        <f t="shared" si="11"/>
        <v>0</v>
      </c>
      <c r="V148" s="222">
        <f t="shared" si="12"/>
        <v>0</v>
      </c>
      <c r="W148" s="228">
        <f t="shared" si="13"/>
        <v>0</v>
      </c>
      <c r="X148" s="228"/>
      <c r="Y148" s="762"/>
    </row>
    <row r="149" spans="1:27" ht="14.1" customHeight="1" x14ac:dyDescent="0.25">
      <c r="A149" s="74"/>
      <c r="B149" s="153"/>
      <c r="C149" s="667"/>
      <c r="D149" s="580"/>
      <c r="E149" s="581"/>
      <c r="F149" s="650"/>
      <c r="G149" s="35"/>
      <c r="H149" s="239"/>
      <c r="I149" s="239"/>
      <c r="J149" s="239"/>
      <c r="K149" s="239"/>
      <c r="L149" s="239"/>
      <c r="M149" s="239"/>
      <c r="N149" s="239"/>
      <c r="O149" s="239"/>
      <c r="P149" s="239"/>
      <c r="Q149" s="250"/>
      <c r="R149" s="256"/>
      <c r="S149" s="222"/>
      <c r="T149" s="228"/>
      <c r="U149" s="222"/>
      <c r="V149" s="222"/>
      <c r="W149" s="228"/>
      <c r="X149" s="228"/>
      <c r="Y149" s="762"/>
    </row>
    <row r="150" spans="1:27" ht="14.1" customHeight="1" thickBot="1" x14ac:dyDescent="0.3">
      <c r="A150" s="103"/>
      <c r="B150" s="150" t="s">
        <v>130</v>
      </c>
      <c r="C150" s="480"/>
      <c r="D150" s="499"/>
      <c r="E150" s="485"/>
      <c r="F150" s="555">
        <f>SUM(F98+F104+F107+F112+F118+F124+F128+F131+F137+F143)</f>
        <v>173470254.39030001</v>
      </c>
      <c r="G150" s="555">
        <f>SUM(G98+G104+G107+G112+G118+G124+G128+G131+G137+G143)</f>
        <v>810106.08800270106</v>
      </c>
      <c r="H150" s="556"/>
      <c r="I150" s="556"/>
      <c r="J150" s="556"/>
      <c r="K150" s="556"/>
      <c r="L150" s="556"/>
      <c r="M150" s="556"/>
      <c r="N150" s="556"/>
      <c r="O150" s="556"/>
      <c r="P150" s="556"/>
      <c r="Q150" s="557"/>
      <c r="R150" s="558"/>
      <c r="S150" s="234">
        <f t="shared" si="9"/>
        <v>-173470254.39030001</v>
      </c>
      <c r="T150" s="235">
        <f t="shared" si="10"/>
        <v>-1</v>
      </c>
      <c r="U150" s="234">
        <f t="shared" si="11"/>
        <v>0</v>
      </c>
      <c r="V150" s="234">
        <f t="shared" si="12"/>
        <v>-810106.08800270106</v>
      </c>
      <c r="W150" s="235">
        <f t="shared" si="13"/>
        <v>-1</v>
      </c>
      <c r="X150" s="235"/>
      <c r="Y150" s="763">
        <f>SUM(Y98:Y149)</f>
        <v>28992</v>
      </c>
      <c r="AA150" s="835"/>
    </row>
    <row r="151" spans="1:27" ht="14.1" customHeight="1" thickTop="1" x14ac:dyDescent="0.25">
      <c r="A151" s="74"/>
      <c r="B151" s="35"/>
      <c r="C151" s="83"/>
      <c r="D151" s="443"/>
      <c r="E151" s="444"/>
      <c r="F151" s="445"/>
      <c r="G151" s="650"/>
      <c r="H151" s="582"/>
      <c r="I151" s="582"/>
      <c r="J151" s="582"/>
      <c r="K151" s="582"/>
      <c r="L151" s="582"/>
      <c r="M151" s="582"/>
      <c r="N151" s="582"/>
      <c r="O151" s="582"/>
      <c r="P151" s="582"/>
      <c r="Q151" s="583"/>
      <c r="R151" s="742"/>
      <c r="S151" s="222"/>
      <c r="T151" s="228"/>
      <c r="U151" s="222"/>
      <c r="V151" s="222"/>
      <c r="W151" s="228"/>
      <c r="X151" s="228"/>
      <c r="Y151" s="762"/>
    </row>
    <row r="152" spans="1:27" ht="14.1" customHeight="1" x14ac:dyDescent="0.25">
      <c r="A152" s="129">
        <v>3</v>
      </c>
      <c r="B152" s="130" t="s">
        <v>133</v>
      </c>
      <c r="C152" s="507"/>
      <c r="D152" s="508"/>
      <c r="E152" s="509"/>
      <c r="F152" s="509"/>
      <c r="G152" s="151"/>
      <c r="H152" s="238"/>
      <c r="I152" s="238"/>
      <c r="J152" s="238"/>
      <c r="K152" s="238"/>
      <c r="L152" s="238"/>
      <c r="M152" s="238"/>
      <c r="N152" s="238"/>
      <c r="O152" s="238"/>
      <c r="P152" s="238"/>
      <c r="Q152" s="251"/>
      <c r="R152" s="259"/>
      <c r="S152" s="227"/>
      <c r="T152" s="229"/>
      <c r="U152" s="227"/>
      <c r="V152" s="227"/>
      <c r="W152" s="229"/>
      <c r="X152" s="229"/>
      <c r="Y152" s="762"/>
    </row>
    <row r="153" spans="1:27" ht="14.1" customHeight="1" x14ac:dyDescent="0.25">
      <c r="A153" s="161" t="s">
        <v>138</v>
      </c>
      <c r="B153" s="144" t="s">
        <v>116</v>
      </c>
      <c r="C153" s="515" t="s">
        <v>520</v>
      </c>
      <c r="D153" s="516">
        <v>11</v>
      </c>
      <c r="E153" s="517">
        <f>5000*C6</f>
        <v>1072750</v>
      </c>
      <c r="F153" s="643">
        <f>D153*E153</f>
        <v>11800250</v>
      </c>
      <c r="G153" s="39">
        <f>F153*$C$4</f>
        <v>55107.167499999996</v>
      </c>
      <c r="H153" s="765"/>
      <c r="I153" s="765"/>
      <c r="J153" s="765"/>
      <c r="K153" s="765"/>
      <c r="L153" s="765"/>
      <c r="M153" s="765"/>
      <c r="N153" s="765"/>
      <c r="O153" s="765"/>
      <c r="P153" s="765"/>
      <c r="Q153" s="766"/>
      <c r="R153" s="767"/>
      <c r="S153" s="768">
        <f t="shared" si="9"/>
        <v>-11800250</v>
      </c>
      <c r="T153" s="769">
        <f t="shared" si="10"/>
        <v>-1</v>
      </c>
      <c r="U153" s="768">
        <f t="shared" si="11"/>
        <v>0</v>
      </c>
      <c r="V153" s="768">
        <f t="shared" si="12"/>
        <v>-55107.167499999996</v>
      </c>
      <c r="W153" s="769">
        <f t="shared" si="13"/>
        <v>-1</v>
      </c>
      <c r="X153" s="769"/>
      <c r="Y153" s="762"/>
    </row>
    <row r="154" spans="1:27" ht="14.1" customHeight="1" x14ac:dyDescent="0.25">
      <c r="A154" s="161" t="s">
        <v>139</v>
      </c>
      <c r="B154" s="144" t="s">
        <v>52</v>
      </c>
      <c r="C154" s="515" t="s">
        <v>780</v>
      </c>
      <c r="D154" s="516">
        <v>1</v>
      </c>
      <c r="E154" s="517">
        <f>5000*C6</f>
        <v>1072750</v>
      </c>
      <c r="F154" s="643">
        <f t="shared" ref="F154:F162" si="14">D154*E154</f>
        <v>1072750</v>
      </c>
      <c r="G154" s="35">
        <f>F154*$C$4</f>
        <v>5009.7424999999994</v>
      </c>
      <c r="H154" s="239"/>
      <c r="I154" s="239"/>
      <c r="J154" s="239"/>
      <c r="K154" s="239"/>
      <c r="L154" s="239"/>
      <c r="M154" s="239"/>
      <c r="N154" s="239"/>
      <c r="O154" s="239"/>
      <c r="P154" s="239"/>
      <c r="Q154" s="250"/>
      <c r="R154" s="261"/>
      <c r="S154" s="222">
        <f t="shared" si="9"/>
        <v>-1072750</v>
      </c>
      <c r="T154" s="228">
        <f t="shared" si="10"/>
        <v>-1</v>
      </c>
      <c r="U154" s="222">
        <f t="shared" si="11"/>
        <v>0</v>
      </c>
      <c r="V154" s="222">
        <f t="shared" si="12"/>
        <v>-5009.7424999999994</v>
      </c>
      <c r="W154" s="228">
        <f t="shared" si="13"/>
        <v>-1</v>
      </c>
      <c r="X154" s="228"/>
      <c r="Y154" s="762"/>
    </row>
    <row r="155" spans="1:27" ht="14.1" customHeight="1" x14ac:dyDescent="0.25">
      <c r="A155" s="161" t="s">
        <v>140</v>
      </c>
      <c r="B155" s="144" t="s">
        <v>313</v>
      </c>
      <c r="C155" s="342"/>
      <c r="D155" s="515"/>
      <c r="E155" s="516"/>
      <c r="F155" s="643">
        <f t="shared" si="14"/>
        <v>0</v>
      </c>
      <c r="G155" s="35">
        <f t="shared" ref="G155:G162" si="15">F155*$C$4</f>
        <v>0</v>
      </c>
      <c r="H155" s="239"/>
      <c r="I155" s="239"/>
      <c r="J155" s="239"/>
      <c r="K155" s="239"/>
      <c r="L155" s="239"/>
      <c r="M155" s="239"/>
      <c r="N155" s="239"/>
      <c r="O155" s="239"/>
      <c r="P155" s="239"/>
      <c r="Q155" s="250"/>
      <c r="R155" s="261"/>
      <c r="S155" s="222">
        <f t="shared" si="9"/>
        <v>0</v>
      </c>
      <c r="T155" s="228">
        <f t="shared" si="10"/>
        <v>0</v>
      </c>
      <c r="U155" s="222">
        <f t="shared" si="11"/>
        <v>0</v>
      </c>
      <c r="V155" s="222">
        <f t="shared" si="12"/>
        <v>0</v>
      </c>
      <c r="W155" s="228">
        <f t="shared" si="13"/>
        <v>0</v>
      </c>
      <c r="X155" s="228"/>
      <c r="Y155" s="762"/>
    </row>
    <row r="156" spans="1:27" ht="14.1" customHeight="1" x14ac:dyDescent="0.25">
      <c r="A156" s="161" t="s">
        <v>141</v>
      </c>
      <c r="B156" s="144" t="s">
        <v>146</v>
      </c>
      <c r="C156" s="342"/>
      <c r="D156" s="515"/>
      <c r="E156" s="516"/>
      <c r="F156" s="643">
        <f t="shared" si="14"/>
        <v>0</v>
      </c>
      <c r="G156" s="35">
        <f t="shared" si="15"/>
        <v>0</v>
      </c>
      <c r="H156" s="239"/>
      <c r="I156" s="239"/>
      <c r="J156" s="239"/>
      <c r="K156" s="239"/>
      <c r="L156" s="239"/>
      <c r="M156" s="239"/>
      <c r="N156" s="239"/>
      <c r="O156" s="239"/>
      <c r="P156" s="239"/>
      <c r="Q156" s="250"/>
      <c r="R156" s="261"/>
      <c r="S156" s="222">
        <f t="shared" si="9"/>
        <v>0</v>
      </c>
      <c r="T156" s="228">
        <f t="shared" si="10"/>
        <v>0</v>
      </c>
      <c r="U156" s="222">
        <f t="shared" si="11"/>
        <v>0</v>
      </c>
      <c r="V156" s="222">
        <f t="shared" si="12"/>
        <v>0</v>
      </c>
      <c r="W156" s="228">
        <f t="shared" si="13"/>
        <v>0</v>
      </c>
      <c r="X156" s="228"/>
      <c r="Y156" s="762"/>
    </row>
    <row r="157" spans="1:27" ht="14.1" customHeight="1" x14ac:dyDescent="0.25">
      <c r="A157" s="161" t="s">
        <v>142</v>
      </c>
      <c r="B157" s="144" t="s">
        <v>147</v>
      </c>
      <c r="C157" s="342"/>
      <c r="D157" s="515"/>
      <c r="E157" s="516"/>
      <c r="F157" s="643">
        <f t="shared" si="14"/>
        <v>0</v>
      </c>
      <c r="G157" s="35">
        <f t="shared" si="15"/>
        <v>0</v>
      </c>
      <c r="H157" s="239"/>
      <c r="I157" s="239"/>
      <c r="J157" s="239"/>
      <c r="K157" s="239"/>
      <c r="L157" s="239"/>
      <c r="M157" s="239"/>
      <c r="N157" s="239"/>
      <c r="O157" s="239"/>
      <c r="P157" s="239"/>
      <c r="Q157" s="250"/>
      <c r="R157" s="261"/>
      <c r="S157" s="222">
        <f t="shared" si="9"/>
        <v>0</v>
      </c>
      <c r="T157" s="228">
        <f t="shared" si="10"/>
        <v>0</v>
      </c>
      <c r="U157" s="222">
        <f t="shared" si="11"/>
        <v>0</v>
      </c>
      <c r="V157" s="222">
        <f t="shared" si="12"/>
        <v>0</v>
      </c>
      <c r="W157" s="228">
        <f t="shared" si="13"/>
        <v>0</v>
      </c>
      <c r="X157" s="228"/>
      <c r="Y157" s="762"/>
    </row>
    <row r="158" spans="1:27" ht="14.1" customHeight="1" x14ac:dyDescent="0.25">
      <c r="A158" s="161" t="s">
        <v>143</v>
      </c>
      <c r="B158" s="144" t="s">
        <v>251</v>
      </c>
      <c r="C158" s="342"/>
      <c r="D158" s="515"/>
      <c r="E158" s="516"/>
      <c r="F158" s="643">
        <f>D158*E158</f>
        <v>0</v>
      </c>
      <c r="G158" s="35">
        <f t="shared" si="15"/>
        <v>0</v>
      </c>
      <c r="H158" s="239"/>
      <c r="I158" s="239"/>
      <c r="J158" s="239"/>
      <c r="K158" s="239"/>
      <c r="L158" s="239"/>
      <c r="M158" s="239"/>
      <c r="N158" s="239"/>
      <c r="O158" s="239"/>
      <c r="P158" s="239"/>
      <c r="Q158" s="250"/>
      <c r="R158" s="261"/>
      <c r="S158" s="222">
        <f t="shared" si="9"/>
        <v>0</v>
      </c>
      <c r="T158" s="228">
        <f t="shared" si="10"/>
        <v>0</v>
      </c>
      <c r="U158" s="222">
        <f t="shared" si="11"/>
        <v>0</v>
      </c>
      <c r="V158" s="222">
        <f t="shared" si="12"/>
        <v>0</v>
      </c>
      <c r="W158" s="228">
        <f t="shared" si="13"/>
        <v>0</v>
      </c>
      <c r="X158" s="228"/>
      <c r="Y158" s="762"/>
    </row>
    <row r="159" spans="1:27" ht="14.1" customHeight="1" x14ac:dyDescent="0.25">
      <c r="A159" s="200">
        <v>3.7</v>
      </c>
      <c r="B159" s="144" t="s">
        <v>312</v>
      </c>
      <c r="C159" s="342"/>
      <c r="D159" s="515"/>
      <c r="E159" s="516"/>
      <c r="F159" s="643">
        <f>D159*E159</f>
        <v>0</v>
      </c>
      <c r="G159" s="35">
        <f t="shared" si="15"/>
        <v>0</v>
      </c>
      <c r="H159" s="239"/>
      <c r="I159" s="239"/>
      <c r="J159" s="239"/>
      <c r="K159" s="239"/>
      <c r="L159" s="239"/>
      <c r="M159" s="239"/>
      <c r="N159" s="239"/>
      <c r="O159" s="239"/>
      <c r="P159" s="239"/>
      <c r="Q159" s="250"/>
      <c r="R159" s="261"/>
      <c r="S159" s="222"/>
      <c r="T159" s="228"/>
      <c r="U159" s="222"/>
      <c r="V159" s="222"/>
      <c r="W159" s="228"/>
      <c r="X159" s="228"/>
      <c r="Y159" s="762"/>
    </row>
    <row r="160" spans="1:27" ht="14.1" customHeight="1" x14ac:dyDescent="0.25">
      <c r="A160" s="200">
        <v>3.8</v>
      </c>
      <c r="B160" s="144" t="s">
        <v>308</v>
      </c>
      <c r="C160" s="342"/>
      <c r="D160" s="515"/>
      <c r="E160" s="516"/>
      <c r="F160" s="643">
        <f t="shared" si="14"/>
        <v>0</v>
      </c>
      <c r="G160" s="35">
        <f t="shared" si="15"/>
        <v>0</v>
      </c>
      <c r="H160" s="239"/>
      <c r="I160" s="239"/>
      <c r="J160" s="239"/>
      <c r="K160" s="239"/>
      <c r="L160" s="239"/>
      <c r="M160" s="239"/>
      <c r="N160" s="239"/>
      <c r="O160" s="239"/>
      <c r="P160" s="239"/>
      <c r="Q160" s="250"/>
      <c r="R160" s="261"/>
      <c r="S160" s="222"/>
      <c r="T160" s="228"/>
      <c r="U160" s="222"/>
      <c r="V160" s="222"/>
      <c r="W160" s="228"/>
      <c r="X160" s="228"/>
      <c r="Y160" s="762"/>
    </row>
    <row r="161" spans="1:27" ht="14.1" customHeight="1" x14ac:dyDescent="0.25">
      <c r="A161" s="200">
        <v>3.9</v>
      </c>
      <c r="B161" s="144" t="s">
        <v>145</v>
      </c>
      <c r="C161" s="834" t="s">
        <v>780</v>
      </c>
      <c r="D161" s="515">
        <v>1.5</v>
      </c>
      <c r="E161" s="516">
        <f>8000*C6</f>
        <v>1716400</v>
      </c>
      <c r="F161" s="643">
        <f t="shared" si="14"/>
        <v>2574600</v>
      </c>
      <c r="G161" s="35">
        <f t="shared" si="15"/>
        <v>12023.382</v>
      </c>
      <c r="H161" s="239"/>
      <c r="I161" s="239"/>
      <c r="J161" s="239"/>
      <c r="K161" s="239"/>
      <c r="L161" s="239"/>
      <c r="M161" s="239"/>
      <c r="N161" s="239"/>
      <c r="O161" s="239"/>
      <c r="P161" s="239"/>
      <c r="Q161" s="250"/>
      <c r="R161" s="261"/>
      <c r="S161" s="222">
        <f t="shared" si="9"/>
        <v>-2574600</v>
      </c>
      <c r="T161" s="228">
        <f t="shared" si="10"/>
        <v>-1</v>
      </c>
      <c r="U161" s="222">
        <f t="shared" si="11"/>
        <v>0</v>
      </c>
      <c r="V161" s="222">
        <f t="shared" si="12"/>
        <v>-12023.382</v>
      </c>
      <c r="W161" s="228">
        <f t="shared" si="13"/>
        <v>-1</v>
      </c>
      <c r="X161" s="228"/>
      <c r="Y161" s="762"/>
    </row>
    <row r="162" spans="1:27" ht="14.1" customHeight="1" x14ac:dyDescent="0.25">
      <c r="A162" s="161">
        <v>3.1</v>
      </c>
      <c r="B162" s="144" t="s">
        <v>171</v>
      </c>
      <c r="C162" s="430" t="s">
        <v>780</v>
      </c>
      <c r="D162" s="515">
        <v>1</v>
      </c>
      <c r="E162" s="516">
        <f>8000*C6</f>
        <v>1716400</v>
      </c>
      <c r="F162" s="643">
        <f t="shared" si="14"/>
        <v>1716400</v>
      </c>
      <c r="G162" s="35">
        <f t="shared" si="15"/>
        <v>8015.5879999999997</v>
      </c>
      <c r="H162" s="239"/>
      <c r="I162" s="239"/>
      <c r="J162" s="239"/>
      <c r="K162" s="239"/>
      <c r="L162" s="239"/>
      <c r="M162" s="239"/>
      <c r="N162" s="239"/>
      <c r="O162" s="239"/>
      <c r="P162" s="239"/>
      <c r="Q162" s="250"/>
      <c r="R162" s="261"/>
      <c r="S162" s="222">
        <f t="shared" si="9"/>
        <v>-1716400</v>
      </c>
      <c r="T162" s="228">
        <f t="shared" si="10"/>
        <v>-1</v>
      </c>
      <c r="U162" s="222">
        <f t="shared" si="11"/>
        <v>0</v>
      </c>
      <c r="V162" s="222">
        <f t="shared" si="12"/>
        <v>-8015.5879999999997</v>
      </c>
      <c r="W162" s="228">
        <f t="shared" si="13"/>
        <v>-1</v>
      </c>
      <c r="X162" s="228"/>
      <c r="Y162" s="762"/>
    </row>
    <row r="163" spans="1:27" ht="14.1" customHeight="1" x14ac:dyDescent="0.25">
      <c r="A163" s="74"/>
      <c r="B163" s="113"/>
      <c r="C163" s="83"/>
      <c r="D163" s="443"/>
      <c r="E163" s="444"/>
      <c r="F163" s="445"/>
      <c r="G163" s="650"/>
      <c r="H163" s="582"/>
      <c r="I163" s="582"/>
      <c r="J163" s="582"/>
      <c r="K163" s="582"/>
      <c r="L163" s="582"/>
      <c r="M163" s="582"/>
      <c r="N163" s="582"/>
      <c r="O163" s="582"/>
      <c r="P163" s="582"/>
      <c r="Q163" s="583"/>
      <c r="R163" s="742"/>
      <c r="S163" s="222"/>
      <c r="T163" s="228"/>
      <c r="U163" s="222"/>
      <c r="V163" s="222"/>
      <c r="W163" s="228"/>
      <c r="X163" s="228"/>
      <c r="Y163" s="762"/>
    </row>
    <row r="164" spans="1:27" ht="14.1" customHeight="1" thickBot="1" x14ac:dyDescent="0.3">
      <c r="A164" s="103"/>
      <c r="B164" s="150" t="s">
        <v>114</v>
      </c>
      <c r="C164" s="480"/>
      <c r="D164" s="499"/>
      <c r="E164" s="485"/>
      <c r="F164" s="555">
        <f>SUM(F153:F162)</f>
        <v>17164000</v>
      </c>
      <c r="G164" s="555">
        <f>SUM(G153:G162)</f>
        <v>80155.88</v>
      </c>
      <c r="H164" s="556"/>
      <c r="I164" s="556"/>
      <c r="J164" s="556"/>
      <c r="K164" s="556"/>
      <c r="L164" s="556"/>
      <c r="M164" s="556"/>
      <c r="N164" s="556"/>
      <c r="O164" s="556"/>
      <c r="P164" s="556"/>
      <c r="Q164" s="557"/>
      <c r="R164" s="558"/>
      <c r="S164" s="234">
        <f t="shared" si="9"/>
        <v>-17164000</v>
      </c>
      <c r="T164" s="235">
        <f t="shared" si="10"/>
        <v>-1</v>
      </c>
      <c r="U164" s="234">
        <f t="shared" si="11"/>
        <v>0</v>
      </c>
      <c r="V164" s="234">
        <f t="shared" si="12"/>
        <v>-80155.88</v>
      </c>
      <c r="W164" s="235">
        <f t="shared" si="13"/>
        <v>-1</v>
      </c>
      <c r="X164" s="235"/>
      <c r="Y164" s="763"/>
      <c r="AA164" s="835"/>
    </row>
    <row r="165" spans="1:27" ht="14.1" customHeight="1" thickTop="1" x14ac:dyDescent="0.25">
      <c r="A165" s="74"/>
      <c r="B165" s="81"/>
      <c r="C165" s="642"/>
      <c r="D165" s="669"/>
      <c r="E165" s="641"/>
      <c r="F165" s="650"/>
      <c r="G165" s="1"/>
      <c r="H165" s="239"/>
      <c r="I165" s="239"/>
      <c r="J165" s="239"/>
      <c r="K165" s="239"/>
      <c r="L165" s="239"/>
      <c r="M165" s="239"/>
      <c r="N165" s="239"/>
      <c r="O165" s="239"/>
      <c r="P165" s="239"/>
      <c r="Q165" s="250"/>
      <c r="R165" s="256"/>
      <c r="S165" s="222"/>
      <c r="T165" s="228"/>
      <c r="U165" s="222"/>
      <c r="V165" s="222"/>
      <c r="W165" s="228"/>
      <c r="X165" s="228"/>
      <c r="Y165" s="762"/>
    </row>
    <row r="166" spans="1:27" ht="14.1" customHeight="1" x14ac:dyDescent="0.25">
      <c r="A166" s="129">
        <v>4</v>
      </c>
      <c r="B166" s="130" t="s">
        <v>113</v>
      </c>
      <c r="C166" s="507"/>
      <c r="D166" s="508"/>
      <c r="E166" s="509"/>
      <c r="F166" s="509"/>
      <c r="G166" s="151"/>
      <c r="H166" s="238"/>
      <c r="I166" s="238"/>
      <c r="J166" s="238"/>
      <c r="K166" s="238"/>
      <c r="L166" s="238"/>
      <c r="M166" s="238"/>
      <c r="N166" s="238"/>
      <c r="O166" s="238"/>
      <c r="P166" s="238"/>
      <c r="Q166" s="251"/>
      <c r="R166" s="259"/>
      <c r="S166" s="227"/>
      <c r="T166" s="229"/>
      <c r="U166" s="227"/>
      <c r="V166" s="227"/>
      <c r="W166" s="229"/>
      <c r="X166" s="229"/>
      <c r="Y166" s="762"/>
    </row>
    <row r="167" spans="1:27" ht="14.1" customHeight="1" x14ac:dyDescent="0.25">
      <c r="A167" s="74" t="s">
        <v>19</v>
      </c>
      <c r="B167" s="81"/>
      <c r="C167" s="642"/>
      <c r="D167" s="669"/>
      <c r="E167" s="641"/>
      <c r="F167" s="650"/>
      <c r="G167" s="1"/>
      <c r="H167" s="239"/>
      <c r="I167" s="239"/>
      <c r="J167" s="239"/>
      <c r="K167" s="239"/>
      <c r="L167" s="239"/>
      <c r="M167" s="239"/>
      <c r="N167" s="239"/>
      <c r="O167" s="239"/>
      <c r="P167" s="239"/>
      <c r="Q167" s="250"/>
      <c r="R167" s="256"/>
      <c r="S167" s="222"/>
      <c r="T167" s="228"/>
      <c r="U167" s="222"/>
      <c r="V167" s="222"/>
      <c r="W167" s="228"/>
      <c r="X167" s="228"/>
      <c r="Y167" s="762"/>
    </row>
    <row r="168" spans="1:27" ht="14.1" customHeight="1" x14ac:dyDescent="0.25">
      <c r="A168" s="81" t="s">
        <v>148</v>
      </c>
      <c r="B168" s="167" t="s">
        <v>880</v>
      </c>
      <c r="C168" s="515" t="s">
        <v>881</v>
      </c>
      <c r="D168" s="516">
        <v>11</v>
      </c>
      <c r="E168" s="517">
        <f>800*C6*4.4</f>
        <v>755216.00000000012</v>
      </c>
      <c r="F168" s="650">
        <f>D168*E168</f>
        <v>8307376.0000000009</v>
      </c>
      <c r="G168" s="35">
        <f>F168*$C$4</f>
        <v>38795.445919999998</v>
      </c>
      <c r="H168" s="239"/>
      <c r="I168" s="239"/>
      <c r="J168" s="239"/>
      <c r="K168" s="239"/>
      <c r="L168" s="239"/>
      <c r="M168" s="239"/>
      <c r="N168" s="239"/>
      <c r="O168" s="239"/>
      <c r="P168" s="239"/>
      <c r="Q168" s="250"/>
      <c r="R168" s="261"/>
      <c r="S168" s="222">
        <f t="shared" si="9"/>
        <v>-8307376.0000000009</v>
      </c>
      <c r="T168" s="228">
        <f t="shared" si="10"/>
        <v>-1</v>
      </c>
      <c r="U168" s="222">
        <f t="shared" si="11"/>
        <v>0</v>
      </c>
      <c r="V168" s="222">
        <f t="shared" si="12"/>
        <v>-38795.445919999998</v>
      </c>
      <c r="W168" s="228">
        <f t="shared" si="13"/>
        <v>-1</v>
      </c>
      <c r="X168" s="228"/>
      <c r="Y168" s="762"/>
    </row>
    <row r="169" spans="1:27" ht="14.1" customHeight="1" x14ac:dyDescent="0.25">
      <c r="A169" s="81" t="s">
        <v>149</v>
      </c>
      <c r="B169" s="167" t="s">
        <v>882</v>
      </c>
      <c r="C169" s="515" t="s">
        <v>881</v>
      </c>
      <c r="D169" s="516">
        <v>11</v>
      </c>
      <c r="E169" s="517">
        <f>250*C6*5</f>
        <v>268187.5</v>
      </c>
      <c r="F169" s="650">
        <f>D169*E169</f>
        <v>2950062.5</v>
      </c>
      <c r="G169" s="35">
        <f>F169*$C$4</f>
        <v>13776.791874999999</v>
      </c>
      <c r="H169" s="239"/>
      <c r="I169" s="239"/>
      <c r="J169" s="239"/>
      <c r="K169" s="239"/>
      <c r="L169" s="239"/>
      <c r="M169" s="239"/>
      <c r="N169" s="239"/>
      <c r="O169" s="239"/>
      <c r="P169" s="239"/>
      <c r="Q169" s="250"/>
      <c r="R169" s="261"/>
      <c r="S169" s="222">
        <f t="shared" si="9"/>
        <v>-2950062.5</v>
      </c>
      <c r="T169" s="228">
        <f t="shared" si="10"/>
        <v>-1</v>
      </c>
      <c r="U169" s="222">
        <f t="shared" si="11"/>
        <v>0</v>
      </c>
      <c r="V169" s="222">
        <f t="shared" si="12"/>
        <v>-13776.791874999999</v>
      </c>
      <c r="W169" s="228">
        <f t="shared" si="13"/>
        <v>-1</v>
      </c>
      <c r="X169" s="228"/>
      <c r="Y169" s="762"/>
    </row>
    <row r="170" spans="1:27" ht="14.1" customHeight="1" x14ac:dyDescent="0.25">
      <c r="A170" s="74" t="s">
        <v>7</v>
      </c>
      <c r="B170" s="141"/>
      <c r="C170" s="671"/>
      <c r="D170" s="672"/>
      <c r="E170" s="673"/>
      <c r="F170" s="650"/>
      <c r="G170" s="1"/>
      <c r="H170" s="239"/>
      <c r="I170" s="239"/>
      <c r="J170" s="239"/>
      <c r="K170" s="239"/>
      <c r="L170" s="239"/>
      <c r="M170" s="239"/>
      <c r="N170" s="239"/>
      <c r="O170" s="239"/>
      <c r="P170" s="239"/>
      <c r="Q170" s="250"/>
      <c r="R170" s="256"/>
      <c r="S170" s="222"/>
      <c r="T170" s="228"/>
      <c r="U170" s="222"/>
      <c r="V170" s="222"/>
      <c r="W170" s="228"/>
      <c r="X170" s="228"/>
      <c r="Y170" s="762"/>
    </row>
    <row r="171" spans="1:27" ht="14.1" customHeight="1" x14ac:dyDescent="0.25">
      <c r="A171" s="81" t="s">
        <v>150</v>
      </c>
      <c r="B171" s="167" t="s">
        <v>50</v>
      </c>
      <c r="C171" s="515" t="s">
        <v>577</v>
      </c>
      <c r="D171" s="516">
        <v>1</v>
      </c>
      <c r="E171" s="517">
        <f>5000*C6</f>
        <v>1072750</v>
      </c>
      <c r="F171" s="650">
        <f>D171*E171</f>
        <v>1072750</v>
      </c>
      <c r="G171" s="35">
        <f>F171*$C$4</f>
        <v>5009.7424999999994</v>
      </c>
      <c r="H171" s="239"/>
      <c r="I171" s="239"/>
      <c r="J171" s="239"/>
      <c r="K171" s="239"/>
      <c r="L171" s="239"/>
      <c r="M171" s="239"/>
      <c r="N171" s="239"/>
      <c r="O171" s="239"/>
      <c r="P171" s="239"/>
      <c r="Q171" s="250"/>
      <c r="R171" s="261"/>
      <c r="S171" s="222">
        <f t="shared" si="9"/>
        <v>-1072750</v>
      </c>
      <c r="T171" s="228">
        <f t="shared" si="10"/>
        <v>-1</v>
      </c>
      <c r="U171" s="222">
        <f t="shared" si="11"/>
        <v>0</v>
      </c>
      <c r="V171" s="222">
        <f t="shared" si="12"/>
        <v>-5009.7424999999994</v>
      </c>
      <c r="W171" s="228">
        <f t="shared" si="13"/>
        <v>-1</v>
      </c>
      <c r="X171" s="228"/>
      <c r="Y171" s="762"/>
    </row>
    <row r="172" spans="1:27" ht="14.1" customHeight="1" x14ac:dyDescent="0.25">
      <c r="A172" s="81" t="s">
        <v>151</v>
      </c>
      <c r="B172" s="141" t="s">
        <v>51</v>
      </c>
      <c r="C172" s="515" t="s">
        <v>577</v>
      </c>
      <c r="D172" s="516">
        <v>1</v>
      </c>
      <c r="E172" s="517">
        <f>5000*C6</f>
        <v>1072750</v>
      </c>
      <c r="F172" s="650">
        <f>D172*E172</f>
        <v>1072750</v>
      </c>
      <c r="G172" s="35">
        <f>F172*$C$4</f>
        <v>5009.7424999999994</v>
      </c>
      <c r="H172" s="239"/>
      <c r="I172" s="239"/>
      <c r="J172" s="239"/>
      <c r="K172" s="239"/>
      <c r="L172" s="239"/>
      <c r="M172" s="239"/>
      <c r="N172" s="239"/>
      <c r="O172" s="239"/>
      <c r="P172" s="239"/>
      <c r="Q172" s="250"/>
      <c r="R172" s="261"/>
      <c r="S172" s="222">
        <f t="shared" si="9"/>
        <v>-1072750</v>
      </c>
      <c r="T172" s="228">
        <f t="shared" si="10"/>
        <v>-1</v>
      </c>
      <c r="U172" s="222">
        <f t="shared" si="11"/>
        <v>0</v>
      </c>
      <c r="V172" s="222">
        <f t="shared" si="12"/>
        <v>-5009.7424999999994</v>
      </c>
      <c r="W172" s="228">
        <f t="shared" si="13"/>
        <v>-1</v>
      </c>
      <c r="X172" s="228"/>
      <c r="Y172" s="762"/>
    </row>
    <row r="173" spans="1:27" ht="14.1" customHeight="1" x14ac:dyDescent="0.25">
      <c r="A173" s="74" t="s">
        <v>8</v>
      </c>
      <c r="B173" s="141"/>
      <c r="C173" s="592"/>
      <c r="D173" s="593"/>
      <c r="E173" s="594"/>
      <c r="F173" s="650"/>
      <c r="G173" s="1"/>
      <c r="H173" s="239"/>
      <c r="I173" s="239"/>
      <c r="J173" s="239"/>
      <c r="K173" s="239"/>
      <c r="L173" s="239"/>
      <c r="M173" s="239"/>
      <c r="N173" s="239"/>
      <c r="O173" s="239"/>
      <c r="P173" s="239"/>
      <c r="Q173" s="250"/>
      <c r="R173" s="256"/>
      <c r="S173" s="222"/>
      <c r="T173" s="228"/>
      <c r="U173" s="222"/>
      <c r="V173" s="222"/>
      <c r="W173" s="228"/>
      <c r="X173" s="228"/>
      <c r="Y173" s="762"/>
    </row>
    <row r="174" spans="1:27" ht="14.1" customHeight="1" x14ac:dyDescent="0.25">
      <c r="A174" s="81" t="s">
        <v>156</v>
      </c>
      <c r="B174" s="144" t="s">
        <v>883</v>
      </c>
      <c r="C174" s="515" t="s">
        <v>884</v>
      </c>
      <c r="D174" s="516">
        <v>10</v>
      </c>
      <c r="E174" s="517">
        <f>1000*C6*2</f>
        <v>429100</v>
      </c>
      <c r="F174" s="650">
        <f>D174*E174</f>
        <v>4291000</v>
      </c>
      <c r="G174" s="35">
        <f>F174*$C$4</f>
        <v>20038.969999999998</v>
      </c>
      <c r="H174" s="239"/>
      <c r="I174" s="239"/>
      <c r="J174" s="239"/>
      <c r="K174" s="239"/>
      <c r="L174" s="239"/>
      <c r="M174" s="239"/>
      <c r="N174" s="239"/>
      <c r="O174" s="239"/>
      <c r="P174" s="239"/>
      <c r="Q174" s="250"/>
      <c r="R174" s="261"/>
      <c r="S174" s="222">
        <f t="shared" si="9"/>
        <v>-4291000</v>
      </c>
      <c r="T174" s="228">
        <f t="shared" si="10"/>
        <v>-1</v>
      </c>
      <c r="U174" s="222">
        <f t="shared" si="11"/>
        <v>0</v>
      </c>
      <c r="V174" s="222">
        <f t="shared" si="12"/>
        <v>-20038.969999999998</v>
      </c>
      <c r="W174" s="228">
        <f t="shared" si="13"/>
        <v>-1</v>
      </c>
      <c r="X174" s="228"/>
      <c r="Y174" s="762"/>
    </row>
    <row r="175" spans="1:27" ht="14.1" customHeight="1" x14ac:dyDescent="0.25">
      <c r="A175" s="81" t="s">
        <v>152</v>
      </c>
      <c r="B175" s="153" t="s">
        <v>54</v>
      </c>
      <c r="C175" s="515" t="s">
        <v>884</v>
      </c>
      <c r="D175" s="516">
        <v>10</v>
      </c>
      <c r="E175" s="517">
        <f>200*C6</f>
        <v>42910</v>
      </c>
      <c r="F175" s="650">
        <f>D175*E175</f>
        <v>429100</v>
      </c>
      <c r="G175" s="35">
        <f>F175*$C$4</f>
        <v>2003.8969999999999</v>
      </c>
      <c r="H175" s="239"/>
      <c r="I175" s="239"/>
      <c r="J175" s="239"/>
      <c r="K175" s="239"/>
      <c r="L175" s="239"/>
      <c r="M175" s="239"/>
      <c r="N175" s="239"/>
      <c r="O175" s="239"/>
      <c r="P175" s="239"/>
      <c r="Q175" s="250"/>
      <c r="R175" s="261"/>
      <c r="S175" s="222">
        <f t="shared" si="9"/>
        <v>-429100</v>
      </c>
      <c r="T175" s="228">
        <f t="shared" si="10"/>
        <v>-1</v>
      </c>
      <c r="U175" s="222">
        <f t="shared" si="11"/>
        <v>0</v>
      </c>
      <c r="V175" s="222">
        <f t="shared" si="12"/>
        <v>-2003.8969999999999</v>
      </c>
      <c r="W175" s="228">
        <f t="shared" si="13"/>
        <v>-1</v>
      </c>
      <c r="X175" s="228"/>
      <c r="Y175" s="762"/>
    </row>
    <row r="176" spans="1:27" ht="14.1" customHeight="1" x14ac:dyDescent="0.25">
      <c r="A176" s="81" t="s">
        <v>153</v>
      </c>
      <c r="B176" s="153" t="s">
        <v>55</v>
      </c>
      <c r="C176" s="515" t="s">
        <v>884</v>
      </c>
      <c r="D176" s="516">
        <v>10</v>
      </c>
      <c r="E176" s="674">
        <f>500*2*C6</f>
        <v>214550</v>
      </c>
      <c r="F176" s="650">
        <f>D176*E176</f>
        <v>2145500</v>
      </c>
      <c r="G176" s="35">
        <f>F176*$C$4</f>
        <v>10019.484999999999</v>
      </c>
      <c r="H176" s="239"/>
      <c r="I176" s="239"/>
      <c r="J176" s="239"/>
      <c r="K176" s="239"/>
      <c r="L176" s="239"/>
      <c r="M176" s="239"/>
      <c r="N176" s="239"/>
      <c r="O176" s="239"/>
      <c r="P176" s="239"/>
      <c r="Q176" s="250"/>
      <c r="R176" s="261"/>
      <c r="S176" s="222">
        <f t="shared" si="9"/>
        <v>-2145500</v>
      </c>
      <c r="T176" s="228">
        <f t="shared" si="10"/>
        <v>-1</v>
      </c>
      <c r="U176" s="222">
        <f t="shared" si="11"/>
        <v>0</v>
      </c>
      <c r="V176" s="222">
        <f t="shared" si="12"/>
        <v>-10019.484999999999</v>
      </c>
      <c r="W176" s="228">
        <f t="shared" si="13"/>
        <v>-1</v>
      </c>
      <c r="X176" s="228"/>
      <c r="Y176" s="762"/>
    </row>
    <row r="177" spans="1:27" ht="14.1" customHeight="1" x14ac:dyDescent="0.25">
      <c r="A177" s="81" t="s">
        <v>154</v>
      </c>
      <c r="B177" s="153" t="s">
        <v>131</v>
      </c>
      <c r="C177" s="515" t="s">
        <v>607</v>
      </c>
      <c r="D177" s="516">
        <v>15</v>
      </c>
      <c r="E177" s="675">
        <f>1200*C6</f>
        <v>257460</v>
      </c>
      <c r="F177" s="650">
        <f>D177*E177</f>
        <v>3861900</v>
      </c>
      <c r="G177" s="35">
        <f>F177*$C$4</f>
        <v>18035.073</v>
      </c>
      <c r="H177" s="239"/>
      <c r="I177" s="239"/>
      <c r="J177" s="239"/>
      <c r="K177" s="239"/>
      <c r="L177" s="239"/>
      <c r="M177" s="239"/>
      <c r="N177" s="239"/>
      <c r="O177" s="239"/>
      <c r="P177" s="239"/>
      <c r="Q177" s="250"/>
      <c r="R177" s="261"/>
      <c r="S177" s="222">
        <f t="shared" si="9"/>
        <v>-3861900</v>
      </c>
      <c r="T177" s="228">
        <f t="shared" si="10"/>
        <v>-1</v>
      </c>
      <c r="U177" s="222">
        <f t="shared" si="11"/>
        <v>0</v>
      </c>
      <c r="V177" s="222">
        <f t="shared" si="12"/>
        <v>-18035.073</v>
      </c>
      <c r="W177" s="228">
        <f t="shared" si="13"/>
        <v>-1</v>
      </c>
      <c r="X177" s="228"/>
      <c r="Y177" s="762"/>
    </row>
    <row r="178" spans="1:27" ht="14.1" customHeight="1" x14ac:dyDescent="0.25">
      <c r="A178" s="81" t="s">
        <v>155</v>
      </c>
      <c r="B178" s="153" t="s">
        <v>132</v>
      </c>
      <c r="C178" s="515" t="s">
        <v>607</v>
      </c>
      <c r="D178" s="516">
        <v>15</v>
      </c>
      <c r="E178" s="675">
        <f>630*C6</f>
        <v>135166.5</v>
      </c>
      <c r="F178" s="650">
        <f>D178*E178</f>
        <v>2027497.5</v>
      </c>
      <c r="G178" s="35">
        <f>F178*$C$4</f>
        <v>9468.4133249999995</v>
      </c>
      <c r="H178" s="239"/>
      <c r="I178" s="239"/>
      <c r="J178" s="239"/>
      <c r="K178" s="239"/>
      <c r="L178" s="239"/>
      <c r="M178" s="239"/>
      <c r="N178" s="239"/>
      <c r="O178" s="239"/>
      <c r="P178" s="239"/>
      <c r="Q178" s="250"/>
      <c r="R178" s="261"/>
      <c r="S178" s="222">
        <f t="shared" si="9"/>
        <v>-2027497.5</v>
      </c>
      <c r="T178" s="228">
        <f t="shared" si="10"/>
        <v>-1</v>
      </c>
      <c r="U178" s="222">
        <f t="shared" si="11"/>
        <v>0</v>
      </c>
      <c r="V178" s="222">
        <f t="shared" si="12"/>
        <v>-9468.4133249999995</v>
      </c>
      <c r="W178" s="228">
        <f t="shared" si="13"/>
        <v>-1</v>
      </c>
      <c r="X178" s="228"/>
      <c r="Y178" s="762"/>
    </row>
    <row r="179" spans="1:27" ht="14.1" hidden="1" customHeight="1" x14ac:dyDescent="0.25">
      <c r="A179" s="74"/>
      <c r="B179" s="35"/>
      <c r="C179" s="5"/>
      <c r="D179" s="5"/>
      <c r="E179" s="5"/>
      <c r="F179" s="172"/>
      <c r="G179" s="35"/>
      <c r="H179" s="239"/>
      <c r="I179" s="239"/>
      <c r="J179" s="239"/>
      <c r="K179" s="239"/>
      <c r="L179" s="239"/>
      <c r="M179" s="239"/>
      <c r="N179" s="239"/>
      <c r="O179" s="239"/>
      <c r="P179" s="239"/>
      <c r="Q179" s="250"/>
      <c r="R179" s="256"/>
      <c r="S179" s="222"/>
      <c r="T179" s="228"/>
      <c r="U179" s="222"/>
      <c r="V179" s="222"/>
      <c r="W179" s="228"/>
      <c r="X179" s="228"/>
      <c r="Y179" s="762"/>
    </row>
    <row r="180" spans="1:27" ht="14.1" hidden="1" customHeight="1" x14ac:dyDescent="0.25">
      <c r="A180" s="203"/>
      <c r="B180" s="204" t="s">
        <v>194</v>
      </c>
      <c r="C180" s="204"/>
      <c r="D180" s="204"/>
      <c r="E180" s="204"/>
      <c r="F180" s="205">
        <f>SUM(F168:F170)</f>
        <v>11257438.5</v>
      </c>
      <c r="G180" s="204">
        <f>SUM(G168:G170)</f>
        <v>52572.237794999994</v>
      </c>
      <c r="H180" s="239"/>
      <c r="I180" s="239"/>
      <c r="J180" s="239"/>
      <c r="K180" s="239"/>
      <c r="L180" s="239"/>
      <c r="M180" s="239"/>
      <c r="N180" s="239"/>
      <c r="O180" s="239"/>
      <c r="P180" s="239"/>
      <c r="Q180" s="250"/>
      <c r="R180" s="256"/>
      <c r="S180" s="222">
        <f t="shared" si="9"/>
        <v>-11257438.5</v>
      </c>
      <c r="T180" s="228">
        <f t="shared" si="10"/>
        <v>-1</v>
      </c>
      <c r="U180" s="222">
        <f t="shared" si="11"/>
        <v>0</v>
      </c>
      <c r="V180" s="222">
        <f t="shared" si="12"/>
        <v>-52572.237794999994</v>
      </c>
      <c r="W180" s="228">
        <f t="shared" si="13"/>
        <v>-1</v>
      </c>
      <c r="X180" s="228"/>
      <c r="Y180" s="762"/>
    </row>
    <row r="181" spans="1:27" ht="14.1" hidden="1" customHeight="1" x14ac:dyDescent="0.25">
      <c r="A181" s="203"/>
      <c r="B181" s="204" t="s">
        <v>7</v>
      </c>
      <c r="C181" s="204"/>
      <c r="D181" s="204"/>
      <c r="E181" s="204"/>
      <c r="F181" s="205">
        <f>SUM(F171:F173)</f>
        <v>2145500</v>
      </c>
      <c r="G181" s="204">
        <f>SUM(G171:G173)</f>
        <v>10019.484999999999</v>
      </c>
      <c r="H181" s="239"/>
      <c r="I181" s="239"/>
      <c r="J181" s="239"/>
      <c r="K181" s="239"/>
      <c r="L181" s="239"/>
      <c r="M181" s="239"/>
      <c r="N181" s="239"/>
      <c r="O181" s="239"/>
      <c r="P181" s="239"/>
      <c r="Q181" s="250"/>
      <c r="R181" s="256"/>
      <c r="S181" s="222">
        <f t="shared" si="9"/>
        <v>-2145500</v>
      </c>
      <c r="T181" s="228">
        <f t="shared" si="10"/>
        <v>-1</v>
      </c>
      <c r="U181" s="222">
        <f t="shared" si="11"/>
        <v>0</v>
      </c>
      <c r="V181" s="222">
        <f t="shared" si="12"/>
        <v>-10019.484999999999</v>
      </c>
      <c r="W181" s="228">
        <f t="shared" si="13"/>
        <v>-1</v>
      </c>
      <c r="X181" s="228"/>
      <c r="Y181" s="762"/>
    </row>
    <row r="182" spans="1:27" ht="14.1" hidden="1" customHeight="1" x14ac:dyDescent="0.25">
      <c r="A182" s="203"/>
      <c r="B182" s="204" t="s">
        <v>8</v>
      </c>
      <c r="C182" s="204"/>
      <c r="D182" s="204"/>
      <c r="E182" s="204"/>
      <c r="F182" s="205">
        <f>SUM(F174:F179)</f>
        <v>12754997.5</v>
      </c>
      <c r="G182" s="204">
        <f>SUM(G174:G179)</f>
        <v>59565.838325000004</v>
      </c>
      <c r="H182" s="239"/>
      <c r="I182" s="239"/>
      <c r="J182" s="239"/>
      <c r="K182" s="239"/>
      <c r="L182" s="239"/>
      <c r="M182" s="239"/>
      <c r="N182" s="239"/>
      <c r="O182" s="239"/>
      <c r="P182" s="239"/>
      <c r="Q182" s="250"/>
      <c r="R182" s="256"/>
      <c r="S182" s="222">
        <f t="shared" si="9"/>
        <v>-12754997.5</v>
      </c>
      <c r="T182" s="228">
        <f t="shared" si="10"/>
        <v>-1</v>
      </c>
      <c r="U182" s="222">
        <f t="shared" si="11"/>
        <v>0</v>
      </c>
      <c r="V182" s="222">
        <f t="shared" si="12"/>
        <v>-59565.838325000004</v>
      </c>
      <c r="W182" s="228">
        <f t="shared" si="13"/>
        <v>-1</v>
      </c>
      <c r="X182" s="228"/>
      <c r="Y182" s="762"/>
    </row>
    <row r="183" spans="1:27" ht="14.1" customHeight="1" thickBot="1" x14ac:dyDescent="0.3">
      <c r="A183" s="103"/>
      <c r="B183" s="150" t="s">
        <v>115</v>
      </c>
      <c r="C183" s="480"/>
      <c r="D183" s="499"/>
      <c r="E183" s="485"/>
      <c r="F183" s="555">
        <f>SUM(F168+F169+F171+F172+F174+F175+F176+F177+F178)</f>
        <v>26157936</v>
      </c>
      <c r="G183" s="555">
        <f>SUM(G168+G169+G171+G172+G174+G176+G175+G177+G178)</f>
        <v>122157.56112</v>
      </c>
      <c r="H183" s="556"/>
      <c r="I183" s="556"/>
      <c r="J183" s="556"/>
      <c r="K183" s="556"/>
      <c r="L183" s="556"/>
      <c r="M183" s="556"/>
      <c r="N183" s="556"/>
      <c r="O183" s="556"/>
      <c r="P183" s="556"/>
      <c r="Q183" s="557"/>
      <c r="R183" s="558"/>
      <c r="S183" s="234">
        <f t="shared" si="9"/>
        <v>-26157936</v>
      </c>
      <c r="T183" s="235">
        <f t="shared" si="10"/>
        <v>-1</v>
      </c>
      <c r="U183" s="234">
        <f t="shared" si="11"/>
        <v>0</v>
      </c>
      <c r="V183" s="234">
        <f t="shared" si="12"/>
        <v>-122157.56112</v>
      </c>
      <c r="W183" s="235">
        <f t="shared" si="13"/>
        <v>-1</v>
      </c>
      <c r="X183" s="235"/>
      <c r="Y183" s="763"/>
      <c r="AA183" s="835"/>
    </row>
    <row r="184" spans="1:27" ht="14.1" customHeight="1" thickTop="1" x14ac:dyDescent="0.25">
      <c r="A184" s="103"/>
      <c r="B184" s="150"/>
      <c r="C184" s="480"/>
      <c r="D184" s="499"/>
      <c r="E184" s="485"/>
      <c r="F184" s="497"/>
      <c r="G184" s="497"/>
      <c r="H184" s="556"/>
      <c r="I184" s="556"/>
      <c r="J184" s="556"/>
      <c r="K184" s="556"/>
      <c r="L184" s="556"/>
      <c r="M184" s="556"/>
      <c r="N184" s="556"/>
      <c r="O184" s="556"/>
      <c r="P184" s="556"/>
      <c r="Q184" s="557"/>
      <c r="R184" s="601"/>
      <c r="S184" s="222"/>
      <c r="T184" s="228"/>
      <c r="U184" s="222"/>
      <c r="V184" s="222"/>
      <c r="W184" s="228"/>
      <c r="X184" s="228"/>
      <c r="Y184" s="762"/>
    </row>
    <row r="185" spans="1:27" ht="14.1" customHeight="1" x14ac:dyDescent="0.25">
      <c r="A185" s="129">
        <v>5</v>
      </c>
      <c r="B185" s="130" t="s">
        <v>117</v>
      </c>
      <c r="C185" s="507"/>
      <c r="D185" s="508"/>
      <c r="E185" s="509"/>
      <c r="F185" s="509"/>
      <c r="G185" s="151"/>
      <c r="H185" s="238"/>
      <c r="I185" s="238"/>
      <c r="J185" s="238"/>
      <c r="K185" s="238"/>
      <c r="L185" s="238"/>
      <c r="M185" s="238"/>
      <c r="N185" s="238"/>
      <c r="O185" s="238"/>
      <c r="P185" s="238"/>
      <c r="Q185" s="251"/>
      <c r="R185" s="259"/>
      <c r="S185" s="227"/>
      <c r="T185" s="229"/>
      <c r="U185" s="227"/>
      <c r="V185" s="227"/>
      <c r="W185" s="229"/>
      <c r="X185" s="229"/>
      <c r="Y185" s="762"/>
    </row>
    <row r="186" spans="1:27" ht="14.1" customHeight="1" x14ac:dyDescent="0.25">
      <c r="A186" s="81" t="s">
        <v>157</v>
      </c>
      <c r="B186" s="167" t="s">
        <v>11</v>
      </c>
      <c r="C186" s="515" t="s">
        <v>780</v>
      </c>
      <c r="D186" s="516">
        <v>6</v>
      </c>
      <c r="E186" s="517">
        <f>1300*C6</f>
        <v>278915</v>
      </c>
      <c r="F186" s="650">
        <f>D186*E186</f>
        <v>1673490</v>
      </c>
      <c r="G186" s="35">
        <f>F186*$C$4</f>
        <v>7815.1982999999991</v>
      </c>
      <c r="H186" s="239"/>
      <c r="I186" s="239"/>
      <c r="J186" s="239"/>
      <c r="K186" s="239"/>
      <c r="L186" s="239"/>
      <c r="M186" s="239"/>
      <c r="N186" s="239"/>
      <c r="O186" s="239"/>
      <c r="P186" s="239"/>
      <c r="Q186" s="250"/>
      <c r="R186" s="261"/>
      <c r="S186" s="222">
        <f t="shared" si="9"/>
        <v>-1673490</v>
      </c>
      <c r="T186" s="228">
        <f t="shared" si="10"/>
        <v>-1</v>
      </c>
      <c r="U186" s="222">
        <f t="shared" si="11"/>
        <v>0</v>
      </c>
      <c r="V186" s="222">
        <f t="shared" si="12"/>
        <v>-7815.1982999999991</v>
      </c>
      <c r="W186" s="228">
        <f t="shared" si="13"/>
        <v>-1</v>
      </c>
      <c r="X186" s="228"/>
      <c r="Y186" s="762"/>
    </row>
    <row r="187" spans="1:27" ht="14.1" customHeight="1" x14ac:dyDescent="0.25">
      <c r="A187" s="81" t="s">
        <v>158</v>
      </c>
      <c r="B187" s="167" t="s">
        <v>12</v>
      </c>
      <c r="C187" s="515" t="s">
        <v>780</v>
      </c>
      <c r="D187" s="516">
        <v>3</v>
      </c>
      <c r="E187" s="517">
        <f>400*C6</f>
        <v>85820</v>
      </c>
      <c r="F187" s="650">
        <f>D187*E187</f>
        <v>257460</v>
      </c>
      <c r="G187" s="35">
        <f>F187*$C$4</f>
        <v>1202.3381999999999</v>
      </c>
      <c r="H187" s="239"/>
      <c r="I187" s="239"/>
      <c r="J187" s="239"/>
      <c r="K187" s="239"/>
      <c r="L187" s="239"/>
      <c r="M187" s="239"/>
      <c r="N187" s="239"/>
      <c r="O187" s="239"/>
      <c r="P187" s="239"/>
      <c r="Q187" s="250"/>
      <c r="R187" s="261"/>
      <c r="S187" s="222">
        <f t="shared" si="9"/>
        <v>-257460</v>
      </c>
      <c r="T187" s="228">
        <f t="shared" si="10"/>
        <v>-1</v>
      </c>
      <c r="U187" s="222">
        <f t="shared" si="11"/>
        <v>0</v>
      </c>
      <c r="V187" s="222">
        <f t="shared" si="12"/>
        <v>-1202.3381999999999</v>
      </c>
      <c r="W187" s="228">
        <f t="shared" si="13"/>
        <v>-1</v>
      </c>
      <c r="X187" s="228"/>
      <c r="Y187" s="762"/>
    </row>
    <row r="188" spans="1:27" ht="14.1" customHeight="1" x14ac:dyDescent="0.25">
      <c r="A188" s="81" t="s">
        <v>159</v>
      </c>
      <c r="B188" s="167" t="s">
        <v>13</v>
      </c>
      <c r="C188" s="515" t="s">
        <v>577</v>
      </c>
      <c r="D188" s="516">
        <v>1</v>
      </c>
      <c r="E188" s="517">
        <f>5000*C6</f>
        <v>1072750</v>
      </c>
      <c r="F188" s="650">
        <f>D188*E188</f>
        <v>1072750</v>
      </c>
      <c r="G188" s="35">
        <f>F188*$C$4</f>
        <v>5009.7424999999994</v>
      </c>
      <c r="H188" s="239"/>
      <c r="I188" s="239"/>
      <c r="J188" s="239"/>
      <c r="K188" s="239"/>
      <c r="L188" s="239"/>
      <c r="M188" s="239"/>
      <c r="N188" s="239"/>
      <c r="O188" s="239"/>
      <c r="P188" s="239"/>
      <c r="Q188" s="250"/>
      <c r="R188" s="261"/>
      <c r="S188" s="222">
        <f t="shared" si="9"/>
        <v>-1072750</v>
      </c>
      <c r="T188" s="228">
        <f t="shared" si="10"/>
        <v>-1</v>
      </c>
      <c r="U188" s="222">
        <f t="shared" si="11"/>
        <v>0</v>
      </c>
      <c r="V188" s="222">
        <f t="shared" si="12"/>
        <v>-5009.7424999999994</v>
      </c>
      <c r="W188" s="228">
        <f t="shared" si="13"/>
        <v>-1</v>
      </c>
      <c r="X188" s="228"/>
      <c r="Y188" s="762"/>
    </row>
    <row r="189" spans="1:27" ht="14.1" customHeight="1" x14ac:dyDescent="0.25">
      <c r="A189" s="81" t="s">
        <v>160</v>
      </c>
      <c r="B189" s="167" t="s">
        <v>14</v>
      </c>
      <c r="C189" s="515" t="s">
        <v>885</v>
      </c>
      <c r="D189" s="516">
        <v>1</v>
      </c>
      <c r="E189" s="517">
        <f>27000*C6</f>
        <v>5792850</v>
      </c>
      <c r="F189" s="650">
        <f>D189*E189</f>
        <v>5792850</v>
      </c>
      <c r="G189" s="35">
        <f>F189*$C$4</f>
        <v>27052.609499999999</v>
      </c>
      <c r="H189" s="239"/>
      <c r="I189" s="239"/>
      <c r="J189" s="239"/>
      <c r="K189" s="239"/>
      <c r="L189" s="239"/>
      <c r="M189" s="239"/>
      <c r="N189" s="239"/>
      <c r="O189" s="239"/>
      <c r="P189" s="239"/>
      <c r="Q189" s="250"/>
      <c r="R189" s="261"/>
      <c r="S189" s="222">
        <f t="shared" si="9"/>
        <v>-5792850</v>
      </c>
      <c r="T189" s="228">
        <f t="shared" si="10"/>
        <v>-1</v>
      </c>
      <c r="U189" s="222">
        <f t="shared" si="11"/>
        <v>0</v>
      </c>
      <c r="V189" s="222">
        <f t="shared" si="12"/>
        <v>-27052.609499999999</v>
      </c>
      <c r="W189" s="228">
        <f t="shared" si="13"/>
        <v>-1</v>
      </c>
      <c r="X189" s="228"/>
      <c r="Y189" s="762"/>
    </row>
    <row r="190" spans="1:27" ht="14.1" customHeight="1" x14ac:dyDescent="0.25">
      <c r="A190" s="81" t="s">
        <v>161</v>
      </c>
      <c r="B190" s="167" t="s">
        <v>60</v>
      </c>
      <c r="C190" s="515" t="s">
        <v>780</v>
      </c>
      <c r="D190" s="516">
        <v>1</v>
      </c>
      <c r="E190" s="517">
        <f>2300*C6</f>
        <v>493465</v>
      </c>
      <c r="F190" s="650">
        <f>D190*E190</f>
        <v>493465</v>
      </c>
      <c r="G190" s="35">
        <f>F190*$C$4</f>
        <v>2304.48155</v>
      </c>
      <c r="H190" s="239"/>
      <c r="I190" s="239"/>
      <c r="J190" s="239"/>
      <c r="K190" s="239"/>
      <c r="L190" s="239"/>
      <c r="M190" s="239"/>
      <c r="N190" s="239"/>
      <c r="O190" s="239"/>
      <c r="P190" s="239"/>
      <c r="Q190" s="250"/>
      <c r="R190" s="261"/>
      <c r="S190" s="222">
        <f t="shared" si="9"/>
        <v>-493465</v>
      </c>
      <c r="T190" s="228">
        <f t="shared" si="10"/>
        <v>-1</v>
      </c>
      <c r="U190" s="222">
        <f t="shared" si="11"/>
        <v>0</v>
      </c>
      <c r="V190" s="222">
        <f t="shared" si="12"/>
        <v>-2304.48155</v>
      </c>
      <c r="W190" s="228">
        <f t="shared" si="13"/>
        <v>-1</v>
      </c>
      <c r="X190" s="228"/>
      <c r="Y190" s="762"/>
    </row>
    <row r="191" spans="1:27" ht="14.1" customHeight="1" x14ac:dyDescent="0.25">
      <c r="A191" s="74"/>
      <c r="B191" s="167"/>
      <c r="C191" s="602"/>
      <c r="D191" s="603"/>
      <c r="E191" s="604"/>
      <c r="F191" s="650"/>
      <c r="G191" s="35"/>
      <c r="H191" s="239"/>
      <c r="I191" s="239"/>
      <c r="J191" s="239"/>
      <c r="K191" s="239"/>
      <c r="L191" s="239"/>
      <c r="M191" s="239"/>
      <c r="N191" s="239"/>
      <c r="O191" s="239"/>
      <c r="P191" s="239"/>
      <c r="Q191" s="250"/>
      <c r="R191" s="256"/>
      <c r="S191" s="222"/>
      <c r="T191" s="228"/>
      <c r="U191" s="222"/>
      <c r="V191" s="222"/>
      <c r="W191" s="228"/>
      <c r="X191" s="228"/>
      <c r="Y191" s="762"/>
    </row>
    <row r="192" spans="1:27" ht="14.1" customHeight="1" thickBot="1" x14ac:dyDescent="0.3">
      <c r="A192" s="103"/>
      <c r="B192" s="150" t="s">
        <v>118</v>
      </c>
      <c r="C192" s="480"/>
      <c r="D192" s="499"/>
      <c r="E192" s="485"/>
      <c r="F192" s="555">
        <f>SUM(F186:F190)</f>
        <v>9290015</v>
      </c>
      <c r="G192" s="555">
        <f>SUM(G186:G190)</f>
        <v>43384.370049999998</v>
      </c>
      <c r="H192" s="556"/>
      <c r="I192" s="556"/>
      <c r="J192" s="556"/>
      <c r="K192" s="556"/>
      <c r="L192" s="556"/>
      <c r="M192" s="556"/>
      <c r="N192" s="556"/>
      <c r="O192" s="556"/>
      <c r="P192" s="556"/>
      <c r="Q192" s="557"/>
      <c r="R192" s="558"/>
      <c r="S192" s="234">
        <f t="shared" si="9"/>
        <v>-9290015</v>
      </c>
      <c r="T192" s="235">
        <f t="shared" si="10"/>
        <v>-1</v>
      </c>
      <c r="U192" s="234">
        <f t="shared" si="11"/>
        <v>0</v>
      </c>
      <c r="V192" s="234">
        <f t="shared" si="12"/>
        <v>-43384.370049999998</v>
      </c>
      <c r="W192" s="235">
        <f t="shared" si="13"/>
        <v>-1</v>
      </c>
      <c r="X192" s="235"/>
      <c r="Y192" s="763"/>
      <c r="AA192" s="835"/>
    </row>
    <row r="193" spans="1:27" ht="14.1" customHeight="1" thickTop="1" x14ac:dyDescent="0.25">
      <c r="A193" s="74"/>
      <c r="B193" s="167"/>
      <c r="C193" s="443"/>
      <c r="D193" s="444"/>
      <c r="E193" s="445"/>
      <c r="F193" s="650"/>
      <c r="G193" s="35"/>
      <c r="H193" s="239"/>
      <c r="I193" s="239"/>
      <c r="J193" s="239"/>
      <c r="K193" s="239"/>
      <c r="L193" s="239"/>
      <c r="M193" s="239"/>
      <c r="N193" s="239"/>
      <c r="O193" s="239"/>
      <c r="P193" s="239"/>
      <c r="Q193" s="250"/>
      <c r="R193" s="256"/>
      <c r="S193" s="222"/>
      <c r="T193" s="228"/>
      <c r="U193" s="222"/>
      <c r="V193" s="222"/>
      <c r="W193" s="228"/>
      <c r="X193" s="228"/>
      <c r="Y193" s="762"/>
    </row>
    <row r="194" spans="1:27" ht="14.1" customHeight="1" x14ac:dyDescent="0.25">
      <c r="A194" s="129">
        <v>6</v>
      </c>
      <c r="B194" s="130" t="s">
        <v>119</v>
      </c>
      <c r="C194" s="507"/>
      <c r="D194" s="508"/>
      <c r="E194" s="509"/>
      <c r="F194" s="509"/>
      <c r="G194" s="151"/>
      <c r="H194" s="238"/>
      <c r="I194" s="238"/>
      <c r="J194" s="238"/>
      <c r="K194" s="238"/>
      <c r="L194" s="238"/>
      <c r="M194" s="238"/>
      <c r="N194" s="238"/>
      <c r="O194" s="238"/>
      <c r="P194" s="238"/>
      <c r="Q194" s="251"/>
      <c r="R194" s="259"/>
      <c r="S194" s="227"/>
      <c r="T194" s="229"/>
      <c r="U194" s="227"/>
      <c r="V194" s="227"/>
      <c r="W194" s="229"/>
      <c r="X194" s="229"/>
      <c r="Y194" s="762"/>
    </row>
    <row r="195" spans="1:27" ht="14.1" customHeight="1" x14ac:dyDescent="0.25">
      <c r="A195" s="103" t="s">
        <v>120</v>
      </c>
      <c r="B195" s="103" t="s">
        <v>77</v>
      </c>
      <c r="C195" s="644"/>
      <c r="D195" s="655"/>
      <c r="E195" s="656"/>
      <c r="F195" s="643"/>
      <c r="G195" s="39"/>
      <c r="H195" s="239"/>
      <c r="I195" s="239"/>
      <c r="J195" s="239"/>
      <c r="K195" s="239"/>
      <c r="L195" s="239"/>
      <c r="M195" s="239"/>
      <c r="N195" s="239"/>
      <c r="O195" s="239"/>
      <c r="P195" s="239"/>
      <c r="Q195" s="250"/>
      <c r="R195" s="255"/>
      <c r="S195" s="222"/>
      <c r="T195" s="228"/>
      <c r="U195" s="222"/>
      <c r="V195" s="222"/>
      <c r="W195" s="228"/>
      <c r="X195" s="228"/>
      <c r="Y195" s="762"/>
    </row>
    <row r="196" spans="1:27" ht="14.1" customHeight="1" x14ac:dyDescent="0.25">
      <c r="A196" s="113" t="s">
        <v>121</v>
      </c>
      <c r="B196" s="174" t="s">
        <v>78</v>
      </c>
      <c r="C196" s="515"/>
      <c r="D196" s="516"/>
      <c r="E196" s="517"/>
      <c r="F196" s="643">
        <f>D196*E196</f>
        <v>0</v>
      </c>
      <c r="G196" s="35">
        <f>F196*$C$4</f>
        <v>0</v>
      </c>
      <c r="H196" s="239"/>
      <c r="I196" s="239"/>
      <c r="J196" s="239"/>
      <c r="K196" s="239"/>
      <c r="L196" s="239"/>
      <c r="M196" s="239"/>
      <c r="N196" s="239"/>
      <c r="O196" s="239"/>
      <c r="P196" s="239"/>
      <c r="Q196" s="250"/>
      <c r="R196" s="261"/>
      <c r="S196" s="222">
        <f t="shared" si="9"/>
        <v>0</v>
      </c>
      <c r="T196" s="228">
        <f t="shared" si="10"/>
        <v>0</v>
      </c>
      <c r="U196" s="222">
        <f t="shared" si="11"/>
        <v>0</v>
      </c>
      <c r="V196" s="222">
        <f t="shared" si="12"/>
        <v>0</v>
      </c>
      <c r="W196" s="228">
        <f t="shared" si="13"/>
        <v>0</v>
      </c>
      <c r="X196" s="228"/>
      <c r="Y196" s="762"/>
    </row>
    <row r="197" spans="1:27" ht="14.1" customHeight="1" x14ac:dyDescent="0.25">
      <c r="A197" s="113" t="s">
        <v>122</v>
      </c>
      <c r="B197" s="174" t="s">
        <v>79</v>
      </c>
      <c r="C197" s="515" t="s">
        <v>577</v>
      </c>
      <c r="D197" s="516">
        <v>1</v>
      </c>
      <c r="E197" s="517">
        <f>5000*C6</f>
        <v>1072750</v>
      </c>
      <c r="F197" s="643">
        <f>D197*E197</f>
        <v>1072750</v>
      </c>
      <c r="G197" s="35">
        <f>F197*$C$4</f>
        <v>5009.7424999999994</v>
      </c>
      <c r="H197" s="239"/>
      <c r="I197" s="239"/>
      <c r="J197" s="239"/>
      <c r="K197" s="239"/>
      <c r="L197" s="239"/>
      <c r="M197" s="239"/>
      <c r="N197" s="239"/>
      <c r="O197" s="239"/>
      <c r="P197" s="239"/>
      <c r="Q197" s="250"/>
      <c r="R197" s="261"/>
      <c r="S197" s="222">
        <f t="shared" si="9"/>
        <v>-1072750</v>
      </c>
      <c r="T197" s="228">
        <f t="shared" si="10"/>
        <v>-1</v>
      </c>
      <c r="U197" s="222">
        <f t="shared" si="11"/>
        <v>0</v>
      </c>
      <c r="V197" s="222">
        <f t="shared" si="12"/>
        <v>-5009.7424999999994</v>
      </c>
      <c r="W197" s="228">
        <f t="shared" si="13"/>
        <v>-1</v>
      </c>
      <c r="X197" s="228"/>
      <c r="Y197" s="762"/>
    </row>
    <row r="198" spans="1:27" ht="14.1" customHeight="1" x14ac:dyDescent="0.25">
      <c r="A198" s="113" t="s">
        <v>123</v>
      </c>
      <c r="B198" s="174" t="s">
        <v>80</v>
      </c>
      <c r="C198" s="515" t="s">
        <v>886</v>
      </c>
      <c r="D198" s="516">
        <v>5</v>
      </c>
      <c r="E198" s="517">
        <f>1000*C6</f>
        <v>214550</v>
      </c>
      <c r="F198" s="643">
        <f>D198*E198</f>
        <v>1072750</v>
      </c>
      <c r="G198" s="35">
        <f>F198*$C$4</f>
        <v>5009.7424999999994</v>
      </c>
      <c r="H198" s="239"/>
      <c r="I198" s="239"/>
      <c r="J198" s="239"/>
      <c r="K198" s="239"/>
      <c r="L198" s="239"/>
      <c r="M198" s="239"/>
      <c r="N198" s="239"/>
      <c r="O198" s="239"/>
      <c r="P198" s="239"/>
      <c r="Q198" s="250"/>
      <c r="R198" s="261"/>
      <c r="S198" s="222">
        <f t="shared" si="9"/>
        <v>-1072750</v>
      </c>
      <c r="T198" s="228">
        <f t="shared" si="10"/>
        <v>-1</v>
      </c>
      <c r="U198" s="222">
        <f t="shared" si="11"/>
        <v>0</v>
      </c>
      <c r="V198" s="222">
        <f t="shared" si="12"/>
        <v>-5009.7424999999994</v>
      </c>
      <c r="W198" s="228">
        <f t="shared" si="13"/>
        <v>-1</v>
      </c>
      <c r="X198" s="228"/>
      <c r="Y198" s="762"/>
    </row>
    <row r="199" spans="1:27" ht="14.1" customHeight="1" x14ac:dyDescent="0.25">
      <c r="A199" s="113" t="s">
        <v>124</v>
      </c>
      <c r="B199" s="174" t="s">
        <v>81</v>
      </c>
      <c r="C199" s="515" t="s">
        <v>577</v>
      </c>
      <c r="D199" s="516">
        <v>1</v>
      </c>
      <c r="E199" s="517">
        <f>5000*C6</f>
        <v>1072750</v>
      </c>
      <c r="F199" s="643">
        <f>D199*E199</f>
        <v>1072750</v>
      </c>
      <c r="G199" s="35">
        <f>F199*$C$4</f>
        <v>5009.7424999999994</v>
      </c>
      <c r="H199" s="239"/>
      <c r="I199" s="239"/>
      <c r="J199" s="239"/>
      <c r="K199" s="239"/>
      <c r="L199" s="239"/>
      <c r="M199" s="239"/>
      <c r="N199" s="239"/>
      <c r="O199" s="239"/>
      <c r="P199" s="239"/>
      <c r="Q199" s="250"/>
      <c r="R199" s="261"/>
      <c r="S199" s="222">
        <f t="shared" ref="S199:S234" si="16">R199-F199</f>
        <v>-1072750</v>
      </c>
      <c r="T199" s="228">
        <f t="shared" ref="T199:T234" si="17">IF(F199=0,0,S199/F199)</f>
        <v>-1</v>
      </c>
      <c r="U199" s="222">
        <f t="shared" ref="U199:U234" si="18">R199*$C$4</f>
        <v>0</v>
      </c>
      <c r="V199" s="222">
        <f t="shared" ref="V199:V234" si="19">U199-G199</f>
        <v>-5009.7424999999994</v>
      </c>
      <c r="W199" s="228">
        <f t="shared" ref="W199:W234" si="20">IF(G199=0,0,V199/G199)</f>
        <v>-1</v>
      </c>
      <c r="X199" s="228"/>
      <c r="Y199" s="762"/>
    </row>
    <row r="200" spans="1:27" ht="14.1" customHeight="1" x14ac:dyDescent="0.25">
      <c r="A200" s="103"/>
      <c r="B200" s="174"/>
      <c r="C200" s="651"/>
      <c r="D200" s="652"/>
      <c r="E200" s="653"/>
      <c r="F200" s="643"/>
      <c r="G200" s="39"/>
      <c r="H200" s="239"/>
      <c r="I200" s="239"/>
      <c r="J200" s="239"/>
      <c r="K200" s="239"/>
      <c r="L200" s="239"/>
      <c r="M200" s="239"/>
      <c r="N200" s="239"/>
      <c r="O200" s="239"/>
      <c r="P200" s="239"/>
      <c r="Q200" s="250"/>
      <c r="R200" s="255"/>
      <c r="S200" s="222"/>
      <c r="T200" s="228"/>
      <c r="U200" s="222"/>
      <c r="V200" s="222"/>
      <c r="W200" s="228"/>
      <c r="X200" s="228"/>
      <c r="Y200" s="762"/>
    </row>
    <row r="201" spans="1:27" ht="14.1" customHeight="1" thickBot="1" x14ac:dyDescent="0.3">
      <c r="A201" s="103"/>
      <c r="B201" s="150" t="s">
        <v>82</v>
      </c>
      <c r="C201" s="644"/>
      <c r="D201" s="655"/>
      <c r="E201" s="656"/>
      <c r="F201" s="555">
        <f>SUM(F196:F199)</f>
        <v>3218250</v>
      </c>
      <c r="G201" s="555">
        <f>SUM(G196:G199)</f>
        <v>15029.227499999997</v>
      </c>
      <c r="H201" s="556"/>
      <c r="I201" s="556"/>
      <c r="J201" s="556"/>
      <c r="K201" s="556"/>
      <c r="L201" s="556"/>
      <c r="M201" s="556"/>
      <c r="N201" s="556"/>
      <c r="O201" s="556"/>
      <c r="P201" s="556"/>
      <c r="Q201" s="557"/>
      <c r="R201" s="558"/>
      <c r="S201" s="234">
        <f t="shared" si="16"/>
        <v>-3218250</v>
      </c>
      <c r="T201" s="235">
        <f t="shared" si="17"/>
        <v>-1</v>
      </c>
      <c r="U201" s="234">
        <f t="shared" si="18"/>
        <v>0</v>
      </c>
      <c r="V201" s="234">
        <f t="shared" si="19"/>
        <v>-15029.227499999997</v>
      </c>
      <c r="W201" s="235">
        <f t="shared" si="20"/>
        <v>-1</v>
      </c>
      <c r="X201" s="235"/>
      <c r="Y201" s="763"/>
      <c r="AA201" s="835"/>
    </row>
    <row r="202" spans="1:27" ht="14.1" customHeight="1" thickTop="1" x14ac:dyDescent="0.25">
      <c r="A202" s="74"/>
      <c r="B202" s="178"/>
      <c r="C202" s="443"/>
      <c r="D202" s="444"/>
      <c r="E202" s="445"/>
      <c r="F202" s="607"/>
      <c r="G202" s="35"/>
      <c r="H202" s="239"/>
      <c r="I202" s="239"/>
      <c r="J202" s="239"/>
      <c r="K202" s="239"/>
      <c r="L202" s="239"/>
      <c r="M202" s="239"/>
      <c r="N202" s="239"/>
      <c r="O202" s="239"/>
      <c r="P202" s="239"/>
      <c r="Q202" s="250"/>
      <c r="R202" s="256"/>
      <c r="S202" s="222"/>
      <c r="T202" s="228"/>
      <c r="U202" s="222"/>
      <c r="V202" s="222"/>
      <c r="W202" s="228"/>
      <c r="X202" s="228"/>
      <c r="Y202" s="762"/>
    </row>
    <row r="203" spans="1:27" ht="14.1" customHeight="1" x14ac:dyDescent="0.25">
      <c r="A203" s="103" t="s">
        <v>125</v>
      </c>
      <c r="B203" s="103" t="s">
        <v>198</v>
      </c>
      <c r="C203" s="644"/>
      <c r="D203" s="655"/>
      <c r="E203" s="656"/>
      <c r="F203" s="643"/>
      <c r="G203" s="39"/>
      <c r="H203" s="239"/>
      <c r="I203" s="239"/>
      <c r="J203" s="239"/>
      <c r="K203" s="239"/>
      <c r="L203" s="239"/>
      <c r="M203" s="239"/>
      <c r="N203" s="239"/>
      <c r="O203" s="239"/>
      <c r="P203" s="239"/>
      <c r="Q203" s="250"/>
      <c r="R203" s="255"/>
      <c r="S203" s="222"/>
      <c r="T203" s="228"/>
      <c r="U203" s="222"/>
      <c r="V203" s="222"/>
      <c r="W203" s="228"/>
      <c r="X203" s="228"/>
      <c r="Y203" s="762"/>
    </row>
    <row r="204" spans="1:27" ht="14.1" customHeight="1" x14ac:dyDescent="0.25">
      <c r="A204" s="113" t="s">
        <v>126</v>
      </c>
      <c r="B204" s="174" t="s">
        <v>135</v>
      </c>
      <c r="C204" s="515"/>
      <c r="D204" s="516"/>
      <c r="E204" s="517"/>
      <c r="F204" s="643">
        <f>D204*E204</f>
        <v>0</v>
      </c>
      <c r="G204" s="35">
        <f>F204*$C$4</f>
        <v>0</v>
      </c>
      <c r="H204" s="239"/>
      <c r="I204" s="239"/>
      <c r="J204" s="239"/>
      <c r="K204" s="239"/>
      <c r="L204" s="239"/>
      <c r="M204" s="239"/>
      <c r="N204" s="239"/>
      <c r="O204" s="239"/>
      <c r="P204" s="239"/>
      <c r="Q204" s="250"/>
      <c r="R204" s="261"/>
      <c r="S204" s="222">
        <f t="shared" si="16"/>
        <v>0</v>
      </c>
      <c r="T204" s="228">
        <f t="shared" si="17"/>
        <v>0</v>
      </c>
      <c r="U204" s="222">
        <f t="shared" si="18"/>
        <v>0</v>
      </c>
      <c r="V204" s="222">
        <f t="shared" si="19"/>
        <v>0</v>
      </c>
      <c r="W204" s="228">
        <f t="shared" si="20"/>
        <v>0</v>
      </c>
      <c r="X204" s="228"/>
      <c r="Y204" s="762"/>
    </row>
    <row r="205" spans="1:27" ht="14.1" customHeight="1" x14ac:dyDescent="0.25">
      <c r="A205" s="113" t="s">
        <v>127</v>
      </c>
      <c r="B205" s="174" t="s">
        <v>136</v>
      </c>
      <c r="C205" s="515"/>
      <c r="D205" s="516"/>
      <c r="E205" s="517"/>
      <c r="F205" s="643">
        <f>D205*E205</f>
        <v>0</v>
      </c>
      <c r="G205" s="35">
        <f>F205*$C$4</f>
        <v>0</v>
      </c>
      <c r="H205" s="239"/>
      <c r="I205" s="239"/>
      <c r="J205" s="239"/>
      <c r="K205" s="239"/>
      <c r="L205" s="239"/>
      <c r="M205" s="239"/>
      <c r="N205" s="239"/>
      <c r="O205" s="239"/>
      <c r="P205" s="239"/>
      <c r="Q205" s="250"/>
      <c r="R205" s="261"/>
      <c r="S205" s="222">
        <f t="shared" si="16"/>
        <v>0</v>
      </c>
      <c r="T205" s="228">
        <f t="shared" si="17"/>
        <v>0</v>
      </c>
      <c r="U205" s="222">
        <f t="shared" si="18"/>
        <v>0</v>
      </c>
      <c r="V205" s="222">
        <f t="shared" si="19"/>
        <v>0</v>
      </c>
      <c r="W205" s="228">
        <f t="shared" si="20"/>
        <v>0</v>
      </c>
      <c r="X205" s="228"/>
      <c r="Y205" s="762"/>
    </row>
    <row r="206" spans="1:27" ht="14.1" customHeight="1" x14ac:dyDescent="0.25">
      <c r="A206" s="113" t="s">
        <v>128</v>
      </c>
      <c r="B206" s="174" t="s">
        <v>134</v>
      </c>
      <c r="C206" s="515" t="s">
        <v>577</v>
      </c>
      <c r="D206" s="516">
        <v>1</v>
      </c>
      <c r="E206" s="517">
        <f>2000*C6</f>
        <v>429100</v>
      </c>
      <c r="F206" s="643">
        <f>D206*E206</f>
        <v>429100</v>
      </c>
      <c r="G206" s="35">
        <f>F206*$C$4</f>
        <v>2003.8969999999999</v>
      </c>
      <c r="H206" s="239"/>
      <c r="I206" s="239"/>
      <c r="J206" s="239"/>
      <c r="K206" s="239"/>
      <c r="L206" s="239"/>
      <c r="M206" s="239"/>
      <c r="N206" s="239"/>
      <c r="O206" s="239"/>
      <c r="P206" s="239"/>
      <c r="Q206" s="250"/>
      <c r="R206" s="261"/>
      <c r="S206" s="222">
        <f t="shared" si="16"/>
        <v>-429100</v>
      </c>
      <c r="T206" s="228">
        <f t="shared" si="17"/>
        <v>-1</v>
      </c>
      <c r="U206" s="222">
        <f t="shared" si="18"/>
        <v>0</v>
      </c>
      <c r="V206" s="222">
        <f t="shared" si="19"/>
        <v>-2003.8969999999999</v>
      </c>
      <c r="W206" s="228">
        <f t="shared" si="20"/>
        <v>-1</v>
      </c>
      <c r="X206" s="228"/>
      <c r="Y206" s="762"/>
    </row>
    <row r="207" spans="1:27" ht="14.1" customHeight="1" x14ac:dyDescent="0.25">
      <c r="A207" s="113" t="s">
        <v>129</v>
      </c>
      <c r="B207" s="174" t="s">
        <v>137</v>
      </c>
      <c r="C207" s="515" t="s">
        <v>577</v>
      </c>
      <c r="D207" s="516">
        <v>1</v>
      </c>
      <c r="E207" s="517">
        <f>3000*C6</f>
        <v>643650</v>
      </c>
      <c r="F207" s="643">
        <f>D207*E207</f>
        <v>643650</v>
      </c>
      <c r="G207" s="35">
        <f>F207*$C$4</f>
        <v>3005.8454999999999</v>
      </c>
      <c r="H207" s="239"/>
      <c r="I207" s="239"/>
      <c r="J207" s="239"/>
      <c r="K207" s="239"/>
      <c r="L207" s="239"/>
      <c r="M207" s="239"/>
      <c r="N207" s="239"/>
      <c r="O207" s="239"/>
      <c r="P207" s="239"/>
      <c r="Q207" s="250"/>
      <c r="R207" s="261"/>
      <c r="S207" s="222">
        <f t="shared" si="16"/>
        <v>-643650</v>
      </c>
      <c r="T207" s="228">
        <f t="shared" si="17"/>
        <v>-1</v>
      </c>
      <c r="U207" s="222">
        <f t="shared" si="18"/>
        <v>0</v>
      </c>
      <c r="V207" s="222">
        <f t="shared" si="19"/>
        <v>-3005.8454999999999</v>
      </c>
      <c r="W207" s="228">
        <f t="shared" si="20"/>
        <v>-1</v>
      </c>
      <c r="X207" s="228"/>
      <c r="Y207" s="762"/>
    </row>
    <row r="208" spans="1:27" ht="14.1" customHeight="1" x14ac:dyDescent="0.25">
      <c r="A208" s="103"/>
      <c r="B208" s="174"/>
      <c r="C208" s="651"/>
      <c r="D208" s="652"/>
      <c r="E208" s="653"/>
      <c r="F208" s="643"/>
      <c r="G208" s="39"/>
      <c r="H208" s="239"/>
      <c r="I208" s="239"/>
      <c r="J208" s="239"/>
      <c r="K208" s="239"/>
      <c r="L208" s="239"/>
      <c r="M208" s="239"/>
      <c r="N208" s="239"/>
      <c r="O208" s="239"/>
      <c r="P208" s="239"/>
      <c r="Q208" s="250"/>
      <c r="R208" s="255"/>
      <c r="S208" s="222"/>
      <c r="T208" s="228"/>
      <c r="U208" s="222"/>
      <c r="V208" s="222"/>
      <c r="W208" s="228"/>
      <c r="X208" s="228"/>
      <c r="Y208" s="762"/>
    </row>
    <row r="209" spans="1:27" ht="14.1" customHeight="1" thickBot="1" x14ac:dyDescent="0.3">
      <c r="A209" s="103"/>
      <c r="B209" s="150" t="s">
        <v>199</v>
      </c>
      <c r="C209" s="644"/>
      <c r="D209" s="655"/>
      <c r="E209" s="656"/>
      <c r="F209" s="555">
        <f>SUM(F204:F207)</f>
        <v>1072750</v>
      </c>
      <c r="G209" s="555">
        <f>SUM(G204:G207)</f>
        <v>5009.7425000000003</v>
      </c>
      <c r="H209" s="556"/>
      <c r="I209" s="556"/>
      <c r="J209" s="556"/>
      <c r="K209" s="556"/>
      <c r="L209" s="556"/>
      <c r="M209" s="556"/>
      <c r="N209" s="556"/>
      <c r="O209" s="556"/>
      <c r="P209" s="556"/>
      <c r="Q209" s="557"/>
      <c r="R209" s="558"/>
      <c r="S209" s="234">
        <f t="shared" si="16"/>
        <v>-1072750</v>
      </c>
      <c r="T209" s="235">
        <f t="shared" si="17"/>
        <v>-1</v>
      </c>
      <c r="U209" s="234">
        <f t="shared" si="18"/>
        <v>0</v>
      </c>
      <c r="V209" s="234">
        <f t="shared" si="19"/>
        <v>-5009.7425000000003</v>
      </c>
      <c r="W209" s="235">
        <f t="shared" si="20"/>
        <v>-1</v>
      </c>
      <c r="X209" s="235"/>
      <c r="Y209" s="763"/>
      <c r="AA209" s="835"/>
    </row>
    <row r="210" spans="1:27" ht="14.1" customHeight="1" thickTop="1" x14ac:dyDescent="0.25">
      <c r="A210" s="74"/>
      <c r="B210" s="178"/>
      <c r="C210" s="443"/>
      <c r="D210" s="444"/>
      <c r="E210" s="445"/>
      <c r="F210" s="607"/>
      <c r="G210" s="35"/>
      <c r="H210" s="239"/>
      <c r="I210" s="239"/>
      <c r="J210" s="239"/>
      <c r="K210" s="239"/>
      <c r="L210" s="239"/>
      <c r="M210" s="239"/>
      <c r="N210" s="239"/>
      <c r="O210" s="239"/>
      <c r="P210" s="239"/>
      <c r="Q210" s="250"/>
      <c r="R210" s="256"/>
      <c r="S210" s="222"/>
      <c r="T210" s="228"/>
      <c r="U210" s="222"/>
      <c r="V210" s="222"/>
      <c r="W210" s="228"/>
      <c r="X210" s="228"/>
      <c r="Y210" s="762"/>
    </row>
    <row r="211" spans="1:27" ht="14.1" customHeight="1" x14ac:dyDescent="0.25">
      <c r="A211" s="103" t="s">
        <v>163</v>
      </c>
      <c r="B211" s="103" t="s">
        <v>162</v>
      </c>
      <c r="C211" s="644"/>
      <c r="D211" s="655"/>
      <c r="E211" s="656"/>
      <c r="F211" s="643"/>
      <c r="G211" s="39"/>
      <c r="H211" s="239"/>
      <c r="I211" s="239"/>
      <c r="J211" s="239"/>
      <c r="K211" s="239"/>
      <c r="L211" s="239"/>
      <c r="M211" s="239"/>
      <c r="N211" s="239"/>
      <c r="O211" s="239"/>
      <c r="P211" s="239"/>
      <c r="Q211" s="250"/>
      <c r="R211" s="255"/>
      <c r="S211" s="222"/>
      <c r="T211" s="228"/>
      <c r="U211" s="222"/>
      <c r="V211" s="222"/>
      <c r="W211" s="228"/>
      <c r="X211" s="228"/>
      <c r="Y211" s="762"/>
    </row>
    <row r="212" spans="1:27" ht="14.1" customHeight="1" x14ac:dyDescent="0.25">
      <c r="A212" s="113" t="s">
        <v>168</v>
      </c>
      <c r="B212" s="174" t="s">
        <v>307</v>
      </c>
      <c r="C212" s="515" t="s">
        <v>577</v>
      </c>
      <c r="D212" s="516">
        <v>1</v>
      </c>
      <c r="E212" s="517">
        <f>5000*C6</f>
        <v>1072750</v>
      </c>
      <c r="F212" s="643">
        <f>D212*E212</f>
        <v>1072750</v>
      </c>
      <c r="G212" s="35">
        <f>F212*$C$4</f>
        <v>5009.7424999999994</v>
      </c>
      <c r="H212" s="239"/>
      <c r="I212" s="239"/>
      <c r="J212" s="239"/>
      <c r="K212" s="239"/>
      <c r="L212" s="239"/>
      <c r="M212" s="239"/>
      <c r="N212" s="239"/>
      <c r="O212" s="239"/>
      <c r="P212" s="239"/>
      <c r="Q212" s="250"/>
      <c r="R212" s="261"/>
      <c r="S212" s="222">
        <f t="shared" si="16"/>
        <v>-1072750</v>
      </c>
      <c r="T212" s="228">
        <f t="shared" si="17"/>
        <v>-1</v>
      </c>
      <c r="U212" s="222">
        <f t="shared" si="18"/>
        <v>0</v>
      </c>
      <c r="V212" s="222">
        <f t="shared" si="19"/>
        <v>-5009.7424999999994</v>
      </c>
      <c r="W212" s="228">
        <f t="shared" si="20"/>
        <v>-1</v>
      </c>
      <c r="X212" s="228"/>
      <c r="Y212" s="762">
        <v>15</v>
      </c>
    </row>
    <row r="213" spans="1:27" ht="14.1" customHeight="1" x14ac:dyDescent="0.25">
      <c r="A213" s="113" t="s">
        <v>169</v>
      </c>
      <c r="B213" s="174" t="s">
        <v>165</v>
      </c>
      <c r="C213" s="515" t="s">
        <v>577</v>
      </c>
      <c r="D213" s="516">
        <v>1</v>
      </c>
      <c r="E213" s="517">
        <f>3000*C6</f>
        <v>643650</v>
      </c>
      <c r="F213" s="643">
        <f>D213*E213</f>
        <v>643650</v>
      </c>
      <c r="G213" s="35">
        <f>F213*$C$4</f>
        <v>3005.8454999999999</v>
      </c>
      <c r="H213" s="239"/>
      <c r="I213" s="239"/>
      <c r="J213" s="239"/>
      <c r="K213" s="239"/>
      <c r="L213" s="239"/>
      <c r="M213" s="239"/>
      <c r="N213" s="239"/>
      <c r="O213" s="239"/>
      <c r="P213" s="239"/>
      <c r="Q213" s="250"/>
      <c r="R213" s="261"/>
      <c r="S213" s="222">
        <f t="shared" si="16"/>
        <v>-643650</v>
      </c>
      <c r="T213" s="228">
        <f t="shared" si="17"/>
        <v>-1</v>
      </c>
      <c r="U213" s="222">
        <f t="shared" si="18"/>
        <v>0</v>
      </c>
      <c r="V213" s="222">
        <f t="shared" si="19"/>
        <v>-3005.8454999999999</v>
      </c>
      <c r="W213" s="228">
        <f t="shared" si="20"/>
        <v>-1</v>
      </c>
      <c r="X213" s="228"/>
      <c r="Y213" s="762"/>
    </row>
    <row r="214" spans="1:27" ht="14.1" customHeight="1" x14ac:dyDescent="0.25">
      <c r="A214" s="113" t="s">
        <v>170</v>
      </c>
      <c r="B214" s="174" t="s">
        <v>166</v>
      </c>
      <c r="C214" s="515"/>
      <c r="D214" s="516"/>
      <c r="E214" s="517"/>
      <c r="F214" s="643">
        <f>D214*E214</f>
        <v>0</v>
      </c>
      <c r="G214" s="35">
        <f>F214*$C$4</f>
        <v>0</v>
      </c>
      <c r="H214" s="239"/>
      <c r="I214" s="239"/>
      <c r="J214" s="239"/>
      <c r="K214" s="239"/>
      <c r="L214" s="239"/>
      <c r="M214" s="239"/>
      <c r="N214" s="239"/>
      <c r="O214" s="239"/>
      <c r="P214" s="239"/>
      <c r="Q214" s="250"/>
      <c r="R214" s="261"/>
      <c r="S214" s="222">
        <f t="shared" si="16"/>
        <v>0</v>
      </c>
      <c r="T214" s="228">
        <f t="shared" si="17"/>
        <v>0</v>
      </c>
      <c r="U214" s="222">
        <f t="shared" si="18"/>
        <v>0</v>
      </c>
      <c r="V214" s="222">
        <f t="shared" si="19"/>
        <v>0</v>
      </c>
      <c r="W214" s="228">
        <f t="shared" si="20"/>
        <v>0</v>
      </c>
      <c r="X214" s="228"/>
      <c r="Y214" s="762"/>
    </row>
    <row r="215" spans="1:27" ht="14.1" customHeight="1" x14ac:dyDescent="0.25">
      <c r="A215" s="103"/>
      <c r="B215" s="174"/>
      <c r="C215" s="651"/>
      <c r="D215" s="652"/>
      <c r="E215" s="653"/>
      <c r="F215" s="643"/>
      <c r="G215" s="39"/>
      <c r="H215" s="239"/>
      <c r="I215" s="239"/>
      <c r="J215" s="239"/>
      <c r="K215" s="239"/>
      <c r="L215" s="239"/>
      <c r="M215" s="239"/>
      <c r="N215" s="239"/>
      <c r="O215" s="239"/>
      <c r="P215" s="239"/>
      <c r="Q215" s="250"/>
      <c r="R215" s="255"/>
      <c r="S215" s="234"/>
      <c r="T215" s="235"/>
      <c r="U215" s="234"/>
      <c r="V215" s="234"/>
      <c r="W215" s="235"/>
      <c r="X215" s="235"/>
      <c r="Y215" s="763"/>
    </row>
    <row r="216" spans="1:27" ht="14.1" customHeight="1" thickBot="1" x14ac:dyDescent="0.3">
      <c r="A216" s="103"/>
      <c r="B216" s="150" t="s">
        <v>167</v>
      </c>
      <c r="C216" s="644"/>
      <c r="D216" s="655"/>
      <c r="E216" s="656"/>
      <c r="F216" s="555">
        <f>SUM(F212:F214)</f>
        <v>1716400</v>
      </c>
      <c r="G216" s="555">
        <f>SUM(G212:G214)</f>
        <v>8015.5879999999997</v>
      </c>
      <c r="H216" s="556"/>
      <c r="I216" s="556"/>
      <c r="J216" s="556"/>
      <c r="K216" s="556"/>
      <c r="L216" s="556"/>
      <c r="M216" s="556"/>
      <c r="N216" s="556"/>
      <c r="O216" s="556"/>
      <c r="P216" s="556"/>
      <c r="Q216" s="557"/>
      <c r="R216" s="558"/>
      <c r="S216" s="234">
        <f t="shared" si="16"/>
        <v>-1716400</v>
      </c>
      <c r="T216" s="235">
        <f t="shared" si="17"/>
        <v>-1</v>
      </c>
      <c r="U216" s="234">
        <f t="shared" si="18"/>
        <v>0</v>
      </c>
      <c r="V216" s="234">
        <f t="shared" si="19"/>
        <v>-8015.5879999999997</v>
      </c>
      <c r="W216" s="235">
        <f t="shared" si="20"/>
        <v>-1</v>
      </c>
      <c r="X216" s="235"/>
      <c r="Y216" s="763"/>
      <c r="AA216" s="835"/>
    </row>
    <row r="217" spans="1:27" ht="14.1" customHeight="1" thickTop="1" x14ac:dyDescent="0.25">
      <c r="A217" s="103"/>
      <c r="B217" s="150"/>
      <c r="C217" s="480"/>
      <c r="D217" s="499"/>
      <c r="E217" s="485"/>
      <c r="F217" s="497"/>
      <c r="G217" s="497"/>
      <c r="H217" s="556"/>
      <c r="I217" s="556"/>
      <c r="J217" s="556"/>
      <c r="K217" s="556"/>
      <c r="L217" s="556"/>
      <c r="M217" s="556"/>
      <c r="N217" s="556"/>
      <c r="O217" s="556"/>
      <c r="P217" s="556"/>
      <c r="Q217" s="557"/>
      <c r="R217" s="601"/>
      <c r="S217" s="222"/>
      <c r="T217" s="228"/>
      <c r="U217" s="222"/>
      <c r="V217" s="222"/>
      <c r="W217" s="228"/>
      <c r="X217" s="228"/>
      <c r="Y217" s="762"/>
    </row>
    <row r="218" spans="1:27" ht="14.1" customHeight="1" thickBot="1" x14ac:dyDescent="0.3">
      <c r="A218" s="180"/>
      <c r="B218" s="181" t="s">
        <v>53</v>
      </c>
      <c r="C218" s="610"/>
      <c r="D218" s="611"/>
      <c r="E218" s="612"/>
      <c r="F218" s="613">
        <f>SUM(F95+F150+F164+F183+F192+F201+F209+F216)</f>
        <v>284043746.09030002</v>
      </c>
      <c r="G218" s="613">
        <f>SUM(G95+G150+G164+G183+G192+G201+G209+G216)</f>
        <v>1326484.2942417008</v>
      </c>
      <c r="H218" s="556"/>
      <c r="I218" s="556"/>
      <c r="J218" s="556"/>
      <c r="K218" s="556"/>
      <c r="L218" s="556"/>
      <c r="M218" s="556"/>
      <c r="N218" s="556"/>
      <c r="O218" s="556"/>
      <c r="P218" s="556"/>
      <c r="Q218" s="557"/>
      <c r="R218" s="558"/>
      <c r="S218" s="614">
        <f t="shared" si="16"/>
        <v>-284043746.09030002</v>
      </c>
      <c r="T218" s="615">
        <f t="shared" si="17"/>
        <v>-1</v>
      </c>
      <c r="U218" s="614">
        <f t="shared" si="18"/>
        <v>0</v>
      </c>
      <c r="V218" s="614">
        <f t="shared" si="19"/>
        <v>-1326484.2942417008</v>
      </c>
      <c r="W218" s="615">
        <f t="shared" si="20"/>
        <v>-1</v>
      </c>
      <c r="X218" s="615"/>
      <c r="Y218" s="758"/>
      <c r="AA218" s="835"/>
    </row>
    <row r="219" spans="1:27" ht="14.1" customHeight="1" thickTop="1" x14ac:dyDescent="0.25">
      <c r="A219" s="74"/>
      <c r="B219" s="91"/>
      <c r="C219" s="443"/>
      <c r="D219" s="444"/>
      <c r="E219" s="445"/>
      <c r="F219" s="650"/>
      <c r="G219" s="35"/>
      <c r="H219" s="239"/>
      <c r="I219" s="239"/>
      <c r="J219" s="239"/>
      <c r="K219" s="239"/>
      <c r="L219" s="239"/>
      <c r="M219" s="239"/>
      <c r="N219" s="239"/>
      <c r="O219" s="239"/>
      <c r="P219" s="239"/>
      <c r="Q219" s="250"/>
      <c r="R219" s="256"/>
      <c r="S219" s="222"/>
      <c r="T219" s="228"/>
      <c r="U219" s="222"/>
      <c r="V219" s="222"/>
      <c r="W219" s="228"/>
      <c r="X219" s="228"/>
      <c r="Y219" s="762"/>
    </row>
    <row r="220" spans="1:27" ht="14.1" customHeight="1" x14ac:dyDescent="0.25">
      <c r="A220" s="74" t="s">
        <v>61</v>
      </c>
      <c r="B220" s="35"/>
      <c r="C220" s="443"/>
      <c r="D220" s="444"/>
      <c r="E220" s="445"/>
      <c r="F220" s="650"/>
      <c r="G220" s="35"/>
      <c r="H220" s="239"/>
      <c r="I220" s="239"/>
      <c r="J220" s="239"/>
      <c r="K220" s="239"/>
      <c r="L220" s="239"/>
      <c r="M220" s="239"/>
      <c r="N220" s="239"/>
      <c r="O220" s="239"/>
      <c r="P220" s="239"/>
      <c r="Q220" s="250"/>
      <c r="R220" s="256"/>
      <c r="S220" s="222"/>
      <c r="T220" s="228"/>
      <c r="U220" s="222"/>
      <c r="V220" s="222"/>
      <c r="W220" s="228"/>
      <c r="X220" s="228"/>
      <c r="Y220" s="762"/>
    </row>
    <row r="221" spans="1:27" ht="14.1" customHeight="1" x14ac:dyDescent="0.25">
      <c r="A221" s="74" t="s">
        <v>18</v>
      </c>
      <c r="B221" s="185" t="s">
        <v>9</v>
      </c>
      <c r="C221" s="443"/>
      <c r="D221" s="444"/>
      <c r="E221" s="445"/>
      <c r="F221" s="650"/>
      <c r="G221" s="35"/>
      <c r="H221" s="239"/>
      <c r="I221" s="239"/>
      <c r="J221" s="239"/>
      <c r="K221" s="239"/>
      <c r="L221" s="239"/>
      <c r="M221" s="239"/>
      <c r="N221" s="239"/>
      <c r="O221" s="239"/>
      <c r="P221" s="239"/>
      <c r="Q221" s="250"/>
      <c r="R221" s="256"/>
      <c r="S221" s="222"/>
      <c r="T221" s="228"/>
      <c r="U221" s="222"/>
      <c r="V221" s="222"/>
      <c r="W221" s="228"/>
      <c r="X221" s="228"/>
      <c r="Y221" s="762"/>
    </row>
    <row r="222" spans="1:27" ht="14.1" customHeight="1" x14ac:dyDescent="0.25">
      <c r="A222" s="74"/>
      <c r="B222" s="141" t="s">
        <v>37</v>
      </c>
      <c r="C222" s="515" t="s">
        <v>520</v>
      </c>
      <c r="D222" s="516">
        <v>12</v>
      </c>
      <c r="E222" s="517">
        <f>7650*C6</f>
        <v>1641307.5</v>
      </c>
      <c r="F222" s="650">
        <f>D222*E222</f>
        <v>19695690</v>
      </c>
      <c r="G222" s="35">
        <f t="shared" ref="G222:G233" si="21">F222*$C$4</f>
        <v>91978.872299999988</v>
      </c>
      <c r="H222" s="239"/>
      <c r="I222" s="239"/>
      <c r="J222" s="239"/>
      <c r="K222" s="239"/>
      <c r="L222" s="239"/>
      <c r="M222" s="239"/>
      <c r="N222" s="239"/>
      <c r="O222" s="239"/>
      <c r="P222" s="239"/>
      <c r="Q222" s="250"/>
      <c r="R222" s="261"/>
      <c r="S222" s="222">
        <f t="shared" si="16"/>
        <v>-19695690</v>
      </c>
      <c r="T222" s="228">
        <f t="shared" si="17"/>
        <v>-1</v>
      </c>
      <c r="U222" s="222">
        <f t="shared" si="18"/>
        <v>0</v>
      </c>
      <c r="V222" s="222">
        <f t="shared" si="19"/>
        <v>-91978.872299999988</v>
      </c>
      <c r="W222" s="228">
        <f t="shared" si="20"/>
        <v>-1</v>
      </c>
      <c r="X222" s="228"/>
      <c r="Y222" s="762"/>
    </row>
    <row r="223" spans="1:27" ht="14.1" customHeight="1" x14ac:dyDescent="0.25">
      <c r="A223" s="74"/>
      <c r="B223" s="141" t="s">
        <v>38</v>
      </c>
      <c r="C223" s="515" t="s">
        <v>520</v>
      </c>
      <c r="D223" s="516">
        <v>11</v>
      </c>
      <c r="E223" s="517">
        <f>7150*C6</f>
        <v>1534032.5</v>
      </c>
      <c r="F223" s="650">
        <f>D223*E223</f>
        <v>16874357.5</v>
      </c>
      <c r="G223" s="35">
        <f t="shared" si="21"/>
        <v>78803.249524999992</v>
      </c>
      <c r="H223" s="239"/>
      <c r="I223" s="239"/>
      <c r="J223" s="239"/>
      <c r="K223" s="239"/>
      <c r="L223" s="239"/>
      <c r="M223" s="239"/>
      <c r="N223" s="239"/>
      <c r="O223" s="239"/>
      <c r="P223" s="239"/>
      <c r="Q223" s="250"/>
      <c r="R223" s="261"/>
      <c r="S223" s="222">
        <f t="shared" si="16"/>
        <v>-16874357.5</v>
      </c>
      <c r="T223" s="228">
        <f t="shared" si="17"/>
        <v>-1</v>
      </c>
      <c r="U223" s="222">
        <f t="shared" si="18"/>
        <v>0</v>
      </c>
      <c r="V223" s="222">
        <f t="shared" si="19"/>
        <v>-78803.249524999992</v>
      </c>
      <c r="W223" s="228">
        <f t="shared" si="20"/>
        <v>-1</v>
      </c>
      <c r="X223" s="228"/>
      <c r="Y223" s="762"/>
    </row>
    <row r="224" spans="1:27" ht="14.1" customHeight="1" x14ac:dyDescent="0.25">
      <c r="A224" s="74"/>
      <c r="B224" s="153" t="s">
        <v>63</v>
      </c>
      <c r="C224" s="515" t="s">
        <v>520</v>
      </c>
      <c r="D224" s="516">
        <v>11</v>
      </c>
      <c r="E224" s="517">
        <f>2115*C6*1.5</f>
        <v>680659.875</v>
      </c>
      <c r="F224" s="650">
        <f>D224*E224</f>
        <v>7487258.625</v>
      </c>
      <c r="G224" s="35">
        <f t="shared" si="21"/>
        <v>34965.497778749996</v>
      </c>
      <c r="H224" s="239"/>
      <c r="I224" s="239"/>
      <c r="J224" s="239"/>
      <c r="K224" s="239"/>
      <c r="L224" s="239"/>
      <c r="M224" s="239"/>
      <c r="N224" s="239"/>
      <c r="O224" s="239"/>
      <c r="P224" s="239"/>
      <c r="Q224" s="250"/>
      <c r="R224" s="261"/>
      <c r="S224" s="222">
        <f t="shared" si="16"/>
        <v>-7487258.625</v>
      </c>
      <c r="T224" s="228">
        <f t="shared" si="17"/>
        <v>-1</v>
      </c>
      <c r="U224" s="222">
        <f t="shared" si="18"/>
        <v>0</v>
      </c>
      <c r="V224" s="222">
        <f t="shared" si="19"/>
        <v>-34965.497778749996</v>
      </c>
      <c r="W224" s="228">
        <f t="shared" si="20"/>
        <v>-1</v>
      </c>
      <c r="X224" s="228"/>
      <c r="Y224" s="762"/>
    </row>
    <row r="225" spans="1:27" ht="14.1" customHeight="1" x14ac:dyDescent="0.25">
      <c r="A225" s="74"/>
      <c r="B225" s="186" t="s">
        <v>39</v>
      </c>
      <c r="C225" s="602"/>
      <c r="D225" s="603"/>
      <c r="E225" s="604"/>
      <c r="F225" s="650"/>
      <c r="G225" s="35">
        <f t="shared" si="21"/>
        <v>0</v>
      </c>
      <c r="H225" s="239"/>
      <c r="I225" s="239"/>
      <c r="J225" s="239"/>
      <c r="K225" s="239"/>
      <c r="L225" s="239"/>
      <c r="M225" s="239"/>
      <c r="N225" s="239"/>
      <c r="O225" s="239"/>
      <c r="P225" s="239"/>
      <c r="Q225" s="250"/>
      <c r="R225" s="256"/>
      <c r="S225" s="222"/>
      <c r="T225" s="228"/>
      <c r="U225" s="222"/>
      <c r="V225" s="222"/>
      <c r="W225" s="228"/>
      <c r="X225" s="228"/>
      <c r="Y225" s="762"/>
    </row>
    <row r="226" spans="1:27" ht="14.1" customHeight="1" x14ac:dyDescent="0.25">
      <c r="A226" s="74"/>
      <c r="B226" s="141" t="s">
        <v>40</v>
      </c>
      <c r="C226" s="515" t="s">
        <v>520</v>
      </c>
      <c r="D226" s="516">
        <v>12</v>
      </c>
      <c r="E226" s="517">
        <f>1024*$C$6</f>
        <v>219699.20000000001</v>
      </c>
      <c r="F226" s="650">
        <f>D226*E226</f>
        <v>2636390.4000000004</v>
      </c>
      <c r="G226" s="35">
        <f t="shared" si="21"/>
        <v>12311.943168000002</v>
      </c>
      <c r="H226" s="239"/>
      <c r="I226" s="239"/>
      <c r="J226" s="239"/>
      <c r="K226" s="239"/>
      <c r="L226" s="239"/>
      <c r="M226" s="239"/>
      <c r="N226" s="239"/>
      <c r="O226" s="239"/>
      <c r="P226" s="239"/>
      <c r="Q226" s="250"/>
      <c r="R226" s="261"/>
      <c r="S226" s="222">
        <f t="shared" si="16"/>
        <v>-2636390.4000000004</v>
      </c>
      <c r="T226" s="228">
        <f t="shared" si="17"/>
        <v>-1</v>
      </c>
      <c r="U226" s="222">
        <f t="shared" si="18"/>
        <v>0</v>
      </c>
      <c r="V226" s="222">
        <f t="shared" si="19"/>
        <v>-12311.943168000002</v>
      </c>
      <c r="W226" s="228">
        <f t="shared" si="20"/>
        <v>-1</v>
      </c>
      <c r="X226" s="228"/>
      <c r="Y226" s="762"/>
    </row>
    <row r="227" spans="1:27" ht="14.1" customHeight="1" x14ac:dyDescent="0.25">
      <c r="A227" s="74"/>
      <c r="B227" s="141" t="s">
        <v>41</v>
      </c>
      <c r="C227" s="515" t="s">
        <v>520</v>
      </c>
      <c r="D227" s="516">
        <v>12</v>
      </c>
      <c r="E227" s="517">
        <f>200*$C$6</f>
        <v>42910</v>
      </c>
      <c r="F227" s="650">
        <f>D227*E227</f>
        <v>514920</v>
      </c>
      <c r="G227" s="35">
        <f t="shared" si="21"/>
        <v>2404.6763999999998</v>
      </c>
      <c r="H227" s="239"/>
      <c r="I227" s="239"/>
      <c r="J227" s="239"/>
      <c r="K227" s="239"/>
      <c r="L227" s="239"/>
      <c r="M227" s="239"/>
      <c r="N227" s="239"/>
      <c r="O227" s="239"/>
      <c r="P227" s="239"/>
      <c r="Q227" s="250"/>
      <c r="R227" s="261"/>
      <c r="S227" s="222">
        <f t="shared" si="16"/>
        <v>-514920</v>
      </c>
      <c r="T227" s="228">
        <f t="shared" si="17"/>
        <v>-1</v>
      </c>
      <c r="U227" s="222">
        <f t="shared" si="18"/>
        <v>0</v>
      </c>
      <c r="V227" s="222">
        <f t="shared" si="19"/>
        <v>-2404.6763999999998</v>
      </c>
      <c r="W227" s="228">
        <f t="shared" si="20"/>
        <v>-1</v>
      </c>
      <c r="X227" s="228"/>
      <c r="Y227" s="762"/>
    </row>
    <row r="228" spans="1:27" ht="14.1" customHeight="1" x14ac:dyDescent="0.25">
      <c r="A228" s="74"/>
      <c r="B228" s="141" t="s">
        <v>42</v>
      </c>
      <c r="C228" s="515" t="s">
        <v>520</v>
      </c>
      <c r="D228" s="516">
        <v>12</v>
      </c>
      <c r="E228" s="517">
        <f>60*$C$6</f>
        <v>12873</v>
      </c>
      <c r="F228" s="650">
        <f>D228*E228</f>
        <v>154476</v>
      </c>
      <c r="G228" s="35">
        <f t="shared" si="21"/>
        <v>721.40291999999999</v>
      </c>
      <c r="H228" s="239"/>
      <c r="I228" s="239"/>
      <c r="J228" s="239"/>
      <c r="K228" s="239"/>
      <c r="L228" s="239"/>
      <c r="M228" s="239"/>
      <c r="N228" s="239"/>
      <c r="O228" s="239"/>
      <c r="P228" s="239"/>
      <c r="Q228" s="250"/>
      <c r="R228" s="261"/>
      <c r="S228" s="222">
        <f t="shared" si="16"/>
        <v>-154476</v>
      </c>
      <c r="T228" s="228">
        <f t="shared" si="17"/>
        <v>-1</v>
      </c>
      <c r="U228" s="222">
        <f t="shared" si="18"/>
        <v>0</v>
      </c>
      <c r="V228" s="222">
        <f t="shared" si="19"/>
        <v>-721.40291999999999</v>
      </c>
      <c r="W228" s="228">
        <f t="shared" si="20"/>
        <v>-1</v>
      </c>
      <c r="X228" s="228"/>
      <c r="Y228" s="762"/>
    </row>
    <row r="229" spans="1:27" ht="14.1" customHeight="1" x14ac:dyDescent="0.25">
      <c r="A229" s="74"/>
      <c r="B229" s="186" t="s">
        <v>43</v>
      </c>
      <c r="C229" s="602"/>
      <c r="D229" s="603"/>
      <c r="E229" s="604"/>
      <c r="F229" s="650"/>
      <c r="G229" s="35"/>
      <c r="H229" s="239"/>
      <c r="I229" s="239"/>
      <c r="J229" s="239"/>
      <c r="K229" s="239"/>
      <c r="L229" s="239"/>
      <c r="M229" s="239"/>
      <c r="N229" s="239"/>
      <c r="O229" s="239"/>
      <c r="P229" s="239"/>
      <c r="Q229" s="250"/>
      <c r="R229" s="256"/>
      <c r="S229" s="222"/>
      <c r="T229" s="228"/>
      <c r="U229" s="222"/>
      <c r="V229" s="222"/>
      <c r="W229" s="228"/>
      <c r="X229" s="228"/>
      <c r="Y229" s="762"/>
    </row>
    <row r="230" spans="1:27" ht="14.1" customHeight="1" x14ac:dyDescent="0.25">
      <c r="A230" s="74"/>
      <c r="B230" s="141" t="s">
        <v>44</v>
      </c>
      <c r="C230" s="515" t="s">
        <v>520</v>
      </c>
      <c r="D230" s="516">
        <v>12</v>
      </c>
      <c r="E230" s="517">
        <f>150*$C$6</f>
        <v>32182.5</v>
      </c>
      <c r="F230" s="650">
        <f>D230*E230</f>
        <v>386190</v>
      </c>
      <c r="G230" s="35">
        <f t="shared" si="21"/>
        <v>1803.5073</v>
      </c>
      <c r="H230" s="239"/>
      <c r="I230" s="239"/>
      <c r="J230" s="239"/>
      <c r="K230" s="239"/>
      <c r="L230" s="239"/>
      <c r="M230" s="239"/>
      <c r="N230" s="239"/>
      <c r="O230" s="239"/>
      <c r="P230" s="239"/>
      <c r="Q230" s="250"/>
      <c r="R230" s="261"/>
      <c r="S230" s="222">
        <f t="shared" si="16"/>
        <v>-386190</v>
      </c>
      <c r="T230" s="228">
        <f t="shared" si="17"/>
        <v>-1</v>
      </c>
      <c r="U230" s="222">
        <f t="shared" si="18"/>
        <v>0</v>
      </c>
      <c r="V230" s="222">
        <f t="shared" si="19"/>
        <v>-1803.5073</v>
      </c>
      <c r="W230" s="228">
        <f t="shared" si="20"/>
        <v>-1</v>
      </c>
      <c r="X230" s="228"/>
      <c r="Y230" s="762"/>
    </row>
    <row r="231" spans="1:27" ht="14.1" customHeight="1" x14ac:dyDescent="0.25">
      <c r="A231" s="74"/>
      <c r="B231" s="186" t="s">
        <v>45</v>
      </c>
      <c r="C231" s="5"/>
      <c r="D231" s="5"/>
      <c r="E231" s="5"/>
      <c r="F231" s="172"/>
      <c r="G231" s="35">
        <f t="shared" si="21"/>
        <v>0</v>
      </c>
      <c r="H231" s="239"/>
      <c r="I231" s="239"/>
      <c r="J231" s="239"/>
      <c r="K231" s="239"/>
      <c r="L231" s="239"/>
      <c r="M231" s="239"/>
      <c r="N231" s="239"/>
      <c r="O231" s="239"/>
      <c r="P231" s="239"/>
      <c r="Q231" s="250"/>
      <c r="R231" s="256"/>
      <c r="S231" s="222"/>
      <c r="T231" s="228"/>
      <c r="U231" s="222"/>
      <c r="V231" s="222"/>
      <c r="W231" s="228"/>
      <c r="X231" s="228"/>
      <c r="Y231" s="762"/>
    </row>
    <row r="232" spans="1:27" ht="14.1" customHeight="1" x14ac:dyDescent="0.25">
      <c r="A232" s="74"/>
      <c r="B232" s="141" t="s">
        <v>46</v>
      </c>
      <c r="C232" s="515"/>
      <c r="D232" s="516"/>
      <c r="E232" s="517"/>
      <c r="F232" s="650">
        <f>D232*E232</f>
        <v>0</v>
      </c>
      <c r="G232" s="35">
        <f t="shared" si="21"/>
        <v>0</v>
      </c>
      <c r="H232" s="239"/>
      <c r="I232" s="239"/>
      <c r="J232" s="239"/>
      <c r="K232" s="239"/>
      <c r="L232" s="239"/>
      <c r="M232" s="239"/>
      <c r="N232" s="239"/>
      <c r="O232" s="239"/>
      <c r="P232" s="239"/>
      <c r="Q232" s="250"/>
      <c r="R232" s="261"/>
      <c r="S232" s="222">
        <f t="shared" si="16"/>
        <v>0</v>
      </c>
      <c r="T232" s="228">
        <f t="shared" si="17"/>
        <v>0</v>
      </c>
      <c r="U232" s="222">
        <f t="shared" si="18"/>
        <v>0</v>
      </c>
      <c r="V232" s="222">
        <f t="shared" si="19"/>
        <v>0</v>
      </c>
      <c r="W232" s="228">
        <f t="shared" si="20"/>
        <v>0</v>
      </c>
      <c r="X232" s="228"/>
      <c r="Y232" s="762"/>
    </row>
    <row r="233" spans="1:27" ht="14.1" customHeight="1" x14ac:dyDescent="0.25">
      <c r="A233" s="74"/>
      <c r="B233" s="153" t="s">
        <v>887</v>
      </c>
      <c r="C233" s="515" t="s">
        <v>520</v>
      </c>
      <c r="D233" s="516">
        <v>12</v>
      </c>
      <c r="E233" s="517">
        <f>900*$C$6</f>
        <v>193095</v>
      </c>
      <c r="F233" s="650">
        <f>D233*E233</f>
        <v>2317140</v>
      </c>
      <c r="G233" s="35">
        <f t="shared" si="21"/>
        <v>10821.043799999999</v>
      </c>
      <c r="H233" s="239"/>
      <c r="I233" s="239"/>
      <c r="J233" s="239"/>
      <c r="K233" s="239"/>
      <c r="L233" s="239"/>
      <c r="M233" s="239"/>
      <c r="N233" s="239"/>
      <c r="O233" s="239"/>
      <c r="P233" s="239"/>
      <c r="Q233" s="250"/>
      <c r="R233" s="256"/>
      <c r="S233" s="222"/>
      <c r="T233" s="228"/>
      <c r="U233" s="222"/>
      <c r="V233" s="222"/>
      <c r="W233" s="228"/>
      <c r="X233" s="228"/>
      <c r="Y233" s="762"/>
    </row>
    <row r="234" spans="1:27" ht="14.1" customHeight="1" x14ac:dyDescent="0.25">
      <c r="A234" s="181"/>
      <c r="B234" s="181" t="s">
        <v>62</v>
      </c>
      <c r="C234" s="610"/>
      <c r="D234" s="611"/>
      <c r="E234" s="612"/>
      <c r="F234" s="621">
        <f>SUM(F222:F233)</f>
        <v>50066422.524999999</v>
      </c>
      <c r="G234" s="621">
        <f>SUM(G222:G233)</f>
        <v>233810.19319174998</v>
      </c>
      <c r="H234" s="582"/>
      <c r="I234" s="582"/>
      <c r="J234" s="582"/>
      <c r="K234" s="582"/>
      <c r="L234" s="582"/>
      <c r="M234" s="582"/>
      <c r="N234" s="582"/>
      <c r="O234" s="582"/>
      <c r="P234" s="582"/>
      <c r="Q234" s="583"/>
      <c r="R234" s="484"/>
      <c r="S234" s="614">
        <f t="shared" si="16"/>
        <v>-50066422.524999999</v>
      </c>
      <c r="T234" s="615">
        <f t="shared" si="17"/>
        <v>-1</v>
      </c>
      <c r="U234" s="614">
        <f t="shared" si="18"/>
        <v>0</v>
      </c>
      <c r="V234" s="614">
        <f t="shared" si="19"/>
        <v>-233810.19319174998</v>
      </c>
      <c r="W234" s="615">
        <f t="shared" si="20"/>
        <v>-1</v>
      </c>
      <c r="X234" s="615"/>
      <c r="Y234" s="758"/>
      <c r="AA234" s="835"/>
    </row>
    <row r="235" spans="1:27" ht="14.1" customHeight="1" x14ac:dyDescent="0.25">
      <c r="A235" s="150"/>
      <c r="B235" s="150"/>
      <c r="C235" s="480"/>
      <c r="D235" s="499"/>
      <c r="E235" s="485"/>
      <c r="F235" s="748">
        <f>(F234/F237)</f>
        <v>0.14985004117802625</v>
      </c>
      <c r="G235" s="748">
        <f>(G234/G237)</f>
        <v>0.14985004117802625</v>
      </c>
      <c r="H235" s="622"/>
      <c r="I235" s="623"/>
      <c r="J235" s="623"/>
      <c r="K235" s="623"/>
      <c r="L235" s="623"/>
      <c r="M235" s="623"/>
      <c r="N235" s="623"/>
      <c r="O235" s="623"/>
      <c r="P235" s="623"/>
      <c r="Q235" s="623"/>
      <c r="R235" s="624"/>
      <c r="S235" s="624"/>
      <c r="T235" s="624"/>
      <c r="U235" s="624"/>
      <c r="V235" s="624"/>
      <c r="W235" s="624"/>
      <c r="X235" s="624"/>
      <c r="Y235" s="758"/>
    </row>
    <row r="236" spans="1:27" ht="14.1" customHeight="1" x14ac:dyDescent="0.25">
      <c r="A236" s="74"/>
      <c r="B236" s="35"/>
      <c r="C236" s="443"/>
      <c r="D236" s="444"/>
      <c r="E236" s="445"/>
      <c r="F236" s="650"/>
      <c r="G236" s="35"/>
      <c r="H236" s="239"/>
      <c r="I236" s="239"/>
      <c r="J236" s="239"/>
      <c r="K236" s="239"/>
      <c r="L236" s="239"/>
      <c r="M236" s="239"/>
      <c r="N236" s="239"/>
      <c r="O236" s="239"/>
      <c r="P236" s="239"/>
      <c r="Q236" s="239"/>
      <c r="R236" s="1"/>
      <c r="S236" s="1"/>
      <c r="T236" s="1"/>
      <c r="U236" s="1"/>
      <c r="V236" s="1"/>
      <c r="W236" s="1"/>
      <c r="X236" s="1"/>
      <c r="Y236" s="761"/>
    </row>
    <row r="237" spans="1:27" ht="14.1" customHeight="1" thickBot="1" x14ac:dyDescent="0.3">
      <c r="A237" s="74"/>
      <c r="B237" s="74" t="s">
        <v>27</v>
      </c>
      <c r="C237" s="443"/>
      <c r="D237" s="444"/>
      <c r="E237" s="445"/>
      <c r="F237" s="625">
        <f>SUM(F218+F234)</f>
        <v>334110168.6153</v>
      </c>
      <c r="G237" s="625">
        <f>G218+G234</f>
        <v>1560294.4874334508</v>
      </c>
      <c r="H237" s="556"/>
      <c r="I237" s="556"/>
      <c r="J237" s="556"/>
      <c r="K237" s="556"/>
      <c r="L237" s="556"/>
      <c r="M237" s="556"/>
      <c r="N237" s="556"/>
      <c r="O237" s="556"/>
      <c r="P237" s="556"/>
      <c r="Q237" s="556"/>
      <c r="R237" s="607"/>
      <c r="S237" s="607"/>
      <c r="T237" s="607"/>
      <c r="U237" s="607"/>
      <c r="V237" s="607"/>
      <c r="W237" s="607"/>
      <c r="X237" s="607"/>
      <c r="Y237" s="758"/>
    </row>
    <row r="238" spans="1:27" ht="14.1" customHeight="1" thickTop="1" x14ac:dyDescent="0.25">
      <c r="A238" s="74"/>
      <c r="B238" s="35"/>
      <c r="C238" s="443"/>
      <c r="D238" s="444"/>
      <c r="E238" s="445"/>
      <c r="F238" s="650"/>
      <c r="G238" s="770"/>
      <c r="H238" s="626"/>
      <c r="I238" s="626"/>
      <c r="J238" s="626"/>
      <c r="K238" s="626"/>
      <c r="L238" s="626"/>
      <c r="M238" s="626"/>
      <c r="N238" s="626"/>
      <c r="O238" s="626"/>
      <c r="P238" s="626"/>
      <c r="Q238" s="626"/>
      <c r="R238" s="770"/>
      <c r="S238" s="770"/>
      <c r="T238" s="770"/>
      <c r="U238" s="770"/>
      <c r="V238" s="770"/>
      <c r="W238" s="770"/>
      <c r="X238" s="770"/>
      <c r="Y238" s="771"/>
    </row>
    <row r="239" spans="1:27" ht="14.1" customHeight="1" x14ac:dyDescent="0.25">
      <c r="A239" s="74" t="s">
        <v>36</v>
      </c>
      <c r="B239" s="39"/>
      <c r="C239" s="443"/>
      <c r="D239" s="444"/>
      <c r="E239" s="445"/>
      <c r="F239" s="1">
        <f>F237*0.03</f>
        <v>10023305.058458999</v>
      </c>
      <c r="G239" s="1">
        <f>G237*0.03</f>
        <v>46808.834623003524</v>
      </c>
      <c r="H239" s="239"/>
      <c r="I239" s="239"/>
      <c r="J239" s="239"/>
      <c r="K239" s="239"/>
      <c r="L239" s="239"/>
      <c r="M239" s="239"/>
      <c r="N239" s="239"/>
      <c r="O239" s="239"/>
      <c r="P239" s="239"/>
      <c r="Q239" s="239"/>
      <c r="R239" s="1"/>
      <c r="S239" s="1"/>
      <c r="T239" s="1"/>
      <c r="U239" s="1"/>
      <c r="V239" s="1"/>
      <c r="W239" s="1"/>
      <c r="X239" s="1"/>
      <c r="Y239" s="761"/>
    </row>
    <row r="240" spans="1:27" ht="14.1" customHeight="1" x14ac:dyDescent="0.25">
      <c r="A240" s="74"/>
      <c r="B240" s="35"/>
      <c r="C240" s="443"/>
      <c r="D240" s="444"/>
      <c r="E240" s="445"/>
      <c r="F240" s="650"/>
      <c r="G240" s="35"/>
      <c r="H240" s="239"/>
      <c r="I240" s="239"/>
      <c r="J240" s="239"/>
      <c r="K240" s="239"/>
      <c r="L240" s="239"/>
      <c r="M240" s="239"/>
      <c r="N240" s="239"/>
      <c r="O240" s="239"/>
      <c r="P240" s="239"/>
      <c r="Q240" s="239"/>
      <c r="R240" s="1"/>
      <c r="S240" s="1"/>
      <c r="T240" s="1"/>
      <c r="U240" s="1"/>
      <c r="V240" s="1"/>
      <c r="W240" s="1"/>
      <c r="X240" s="1"/>
      <c r="Y240" s="761"/>
    </row>
    <row r="241" spans="1:25" ht="14.1" customHeight="1" thickBot="1" x14ac:dyDescent="0.3">
      <c r="A241" s="117"/>
      <c r="B241" s="117" t="s">
        <v>28</v>
      </c>
      <c r="C241" s="491"/>
      <c r="D241" s="628"/>
      <c r="E241" s="629"/>
      <c r="F241" s="647">
        <f>SUM(F239+F237)</f>
        <v>344133473.67375898</v>
      </c>
      <c r="G241" s="647">
        <f>SUM(G239+G237)</f>
        <v>1607103.3220564544</v>
      </c>
      <c r="H241" s="630"/>
      <c r="I241" s="630"/>
      <c r="J241" s="630"/>
      <c r="K241" s="630"/>
      <c r="L241" s="630"/>
      <c r="M241" s="630"/>
      <c r="N241" s="630"/>
      <c r="O241" s="630"/>
      <c r="P241" s="630"/>
      <c r="Q241" s="630"/>
      <c r="R241" s="495"/>
      <c r="S241" s="495"/>
      <c r="T241" s="495"/>
      <c r="U241" s="495"/>
      <c r="V241" s="495"/>
      <c r="W241" s="495"/>
      <c r="X241" s="495"/>
      <c r="Y241" s="758">
        <f>Y150+Y212</f>
        <v>29007</v>
      </c>
    </row>
    <row r="242" spans="1:25" ht="14.1" customHeight="1" x14ac:dyDescent="0.25">
      <c r="A242" s="74"/>
      <c r="B242" s="35"/>
      <c r="C242" s="443"/>
      <c r="D242" s="444"/>
      <c r="E242" s="445"/>
      <c r="F242" s="650"/>
      <c r="G242" s="35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"/>
      <c r="S242" s="1"/>
      <c r="T242" s="1"/>
      <c r="U242" s="1"/>
      <c r="V242" s="1"/>
      <c r="W242" s="1"/>
      <c r="X242" s="1"/>
      <c r="Y242" s="761"/>
    </row>
    <row r="243" spans="1:25" ht="14.1" customHeight="1" thickBot="1" x14ac:dyDescent="0.3">
      <c r="A243" s="191" t="s">
        <v>24</v>
      </c>
      <c r="B243" s="192"/>
      <c r="C243" s="632"/>
      <c r="D243" s="633"/>
      <c r="E243" s="634"/>
      <c r="F243" s="635">
        <f>SUM(F241-F73)</f>
        <v>344133473.67375898</v>
      </c>
      <c r="G243" s="635">
        <f>SUM(G241-G73)</f>
        <v>1607103.3220564544</v>
      </c>
      <c r="H243" s="636"/>
      <c r="I243" s="636"/>
      <c r="J243" s="636"/>
      <c r="K243" s="636"/>
      <c r="L243" s="636"/>
      <c r="M243" s="636"/>
      <c r="N243" s="636"/>
      <c r="O243" s="636"/>
      <c r="P243" s="636"/>
      <c r="Q243" s="636"/>
      <c r="R243" s="637"/>
      <c r="S243" s="637"/>
      <c r="T243" s="637"/>
      <c r="U243" s="637"/>
      <c r="V243" s="637"/>
      <c r="W243" s="637"/>
      <c r="X243" s="637"/>
      <c r="Y243" s="758"/>
    </row>
    <row r="244" spans="1:25" ht="14.1" customHeight="1" thickTop="1" x14ac:dyDescent="0.25">
      <c r="A244" s="74"/>
      <c r="B244" s="35"/>
      <c r="C244" s="443"/>
      <c r="D244" s="444"/>
      <c r="E244" s="445"/>
      <c r="F244" s="641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751"/>
    </row>
    <row r="245" spans="1:25" ht="14.1" customHeight="1" x14ac:dyDescent="0.25">
      <c r="A245" s="74"/>
      <c r="B245" s="35"/>
      <c r="C245" s="443"/>
      <c r="D245" s="444"/>
      <c r="E245" s="445"/>
      <c r="F245" s="641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751"/>
    </row>
    <row r="246" spans="1:25" ht="14.1" customHeight="1" x14ac:dyDescent="0.25">
      <c r="A246" s="74" t="s">
        <v>15</v>
      </c>
      <c r="B246" s="35"/>
      <c r="C246" s="443"/>
      <c r="D246" s="444"/>
      <c r="E246" s="445"/>
      <c r="F246" s="641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751"/>
    </row>
    <row r="247" spans="1:25" ht="14.1" customHeight="1" x14ac:dyDescent="0.25">
      <c r="A247" s="74"/>
      <c r="B247" s="35"/>
      <c r="C247" s="443"/>
      <c r="D247" s="444"/>
      <c r="E247" s="445"/>
      <c r="F247" s="641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751"/>
    </row>
    <row r="248" spans="1:25" ht="14.1" customHeight="1" x14ac:dyDescent="0.4">
      <c r="A248" s="74"/>
      <c r="B248" s="197" t="s">
        <v>16</v>
      </c>
      <c r="C248" s="443"/>
      <c r="D248" s="639" t="s">
        <v>26</v>
      </c>
      <c r="E248" s="445"/>
      <c r="F248" s="870" t="s">
        <v>17</v>
      </c>
      <c r="G248" s="851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772"/>
    </row>
    <row r="249" spans="1:25" ht="14.1" customHeight="1" x14ac:dyDescent="0.4">
      <c r="A249" s="74"/>
      <c r="B249" s="35"/>
      <c r="C249" s="443"/>
      <c r="D249" s="639"/>
      <c r="E249" s="445"/>
      <c r="F249" s="641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751"/>
    </row>
    <row r="250" spans="1:25" ht="14.1" customHeight="1" x14ac:dyDescent="0.25">
      <c r="A250" s="74"/>
      <c r="B250" s="35"/>
      <c r="C250" s="443"/>
      <c r="D250" s="444"/>
      <c r="E250" s="445"/>
      <c r="F250" s="641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751"/>
    </row>
    <row r="251" spans="1:25" ht="14.1" customHeight="1" x14ac:dyDescent="0.25">
      <c r="A251" s="74"/>
      <c r="B251" s="35"/>
      <c r="C251" s="443"/>
      <c r="D251" s="444"/>
      <c r="E251" s="445"/>
      <c r="F251" s="641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751"/>
    </row>
    <row r="252" spans="1:25" ht="14.1" customHeight="1" x14ac:dyDescent="0.25">
      <c r="A252" s="74"/>
      <c r="B252" s="35"/>
      <c r="C252" s="443"/>
      <c r="D252" s="444"/>
      <c r="E252" s="445"/>
      <c r="F252" s="641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751"/>
    </row>
    <row r="253" spans="1:25" ht="14.1" customHeight="1" x14ac:dyDescent="0.25">
      <c r="A253" s="74"/>
      <c r="B253" s="35"/>
      <c r="C253" s="443"/>
      <c r="D253" s="444"/>
      <c r="E253" s="445"/>
      <c r="F253" s="641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751"/>
    </row>
    <row r="254" spans="1:25" ht="14.1" customHeight="1" x14ac:dyDescent="0.25">
      <c r="A254" s="74"/>
      <c r="B254" s="35"/>
      <c r="C254" s="443"/>
      <c r="D254" s="444"/>
      <c r="E254" s="445"/>
      <c r="F254" s="641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751"/>
    </row>
    <row r="255" spans="1:25" ht="14.1" customHeight="1" x14ac:dyDescent="0.25">
      <c r="A255" s="74"/>
      <c r="B255" s="35"/>
      <c r="C255" s="443"/>
      <c r="D255" s="444"/>
      <c r="E255" s="445"/>
      <c r="F255" s="641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751"/>
    </row>
  </sheetData>
  <mergeCells count="3">
    <mergeCell ref="A1:G1"/>
    <mergeCell ref="H76:Q76"/>
    <mergeCell ref="F248:G248"/>
  </mergeCells>
  <conditionalFormatting sqref="F235:Y235">
    <cfRule type="cellIs" dxfId="2" priority="1" stopIfTrue="1" operator="greaterThan">
      <formula>15</formula>
    </cfRule>
  </conditionalFormatting>
  <pageMargins left="0.7" right="0.7" top="0.75" bottom="0.75" header="0.3" footer="0.3"/>
  <pageSetup paperSize="9" scale="71" fitToHeight="2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69"/>
  <sheetViews>
    <sheetView topLeftCell="A249" workbookViewId="0">
      <selection activeCell="X256" sqref="X256"/>
    </sheetView>
  </sheetViews>
  <sheetFormatPr defaultColWidth="11.44140625" defaultRowHeight="15" customHeight="1" x14ac:dyDescent="0.25"/>
  <cols>
    <col min="2" max="2" width="38.33203125" customWidth="1"/>
    <col min="8" max="23" width="0" hidden="1" customWidth="1"/>
    <col min="24" max="24" width="47.44140625" customWidth="1"/>
  </cols>
  <sheetData>
    <row r="1" spans="1:25" ht="15" customHeight="1" x14ac:dyDescent="0.25">
      <c r="A1" s="844" t="s">
        <v>66</v>
      </c>
      <c r="B1" s="845"/>
      <c r="C1" s="845"/>
      <c r="D1" s="845"/>
      <c r="E1" s="845"/>
      <c r="F1" s="845"/>
      <c r="G1" s="846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35"/>
    </row>
    <row r="2" spans="1:25" ht="15" customHeight="1" x14ac:dyDescent="0.25">
      <c r="A2" s="71"/>
      <c r="B2" s="72"/>
      <c r="C2" s="72"/>
      <c r="D2" s="72"/>
      <c r="E2" s="72"/>
      <c r="F2" s="72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35"/>
    </row>
    <row r="3" spans="1:25" ht="15" customHeight="1" x14ac:dyDescent="0.25">
      <c r="A3" s="74" t="s">
        <v>10</v>
      </c>
      <c r="B3" s="35"/>
      <c r="C3" s="75"/>
      <c r="D3" s="76"/>
      <c r="E3" s="77"/>
      <c r="F3" s="78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ht="15" customHeight="1" x14ac:dyDescent="0.25">
      <c r="A4" s="74"/>
      <c r="B4" s="79" t="s">
        <v>25</v>
      </c>
      <c r="C4" s="80">
        <v>1</v>
      </c>
      <c r="D4" s="76"/>
      <c r="E4" s="77"/>
      <c r="F4" s="78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81"/>
    </row>
    <row r="5" spans="1:25" ht="15" customHeight="1" x14ac:dyDescent="0.25">
      <c r="A5" s="74"/>
      <c r="B5" s="82" t="s">
        <v>435</v>
      </c>
      <c r="C5" s="75"/>
      <c r="D5" s="76"/>
      <c r="E5" s="77"/>
      <c r="F5" s="78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ht="15" customHeight="1" x14ac:dyDescent="0.25">
      <c r="A6" s="74"/>
      <c r="B6" s="83"/>
      <c r="C6" s="75"/>
      <c r="D6" s="76"/>
      <c r="E6" s="77"/>
      <c r="F6" s="77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5" ht="15" customHeight="1" x14ac:dyDescent="0.25">
      <c r="A7" s="74" t="s">
        <v>23</v>
      </c>
      <c r="B7" s="35"/>
      <c r="C7" s="75" t="s">
        <v>436</v>
      </c>
      <c r="D7" s="76"/>
      <c r="E7" s="77"/>
      <c r="F7" s="77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25" ht="15" customHeight="1" x14ac:dyDescent="0.25">
      <c r="A8" s="74" t="s">
        <v>67</v>
      </c>
      <c r="B8" s="35"/>
      <c r="C8" s="83" t="s">
        <v>391</v>
      </c>
      <c r="D8" s="76"/>
      <c r="E8" s="77"/>
      <c r="F8" s="77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ht="15" customHeight="1" x14ac:dyDescent="0.25">
      <c r="A9" s="74" t="s">
        <v>68</v>
      </c>
      <c r="B9" s="35"/>
      <c r="C9" s="81" t="str">
        <f>Consolidated!C9</f>
        <v xml:space="preserve">Humanitarian Response for People Affected by the Syrian Conflict </v>
      </c>
      <c r="D9" s="76"/>
      <c r="E9" s="77"/>
      <c r="F9" s="77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ht="15" customHeight="1" x14ac:dyDescent="0.25">
      <c r="A10" s="74" t="s">
        <v>56</v>
      </c>
      <c r="B10" s="35"/>
      <c r="C10" s="75" t="str">
        <f>Consolidated!C10</f>
        <v>January 1st 2019-December 31st 2019</v>
      </c>
      <c r="D10" s="76"/>
      <c r="E10" s="77"/>
      <c r="F10" s="77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25" ht="15" hidden="1" customHeight="1" x14ac:dyDescent="0.25">
      <c r="A11" s="74"/>
      <c r="B11" s="74"/>
      <c r="C11" s="85"/>
      <c r="D11" s="86"/>
      <c r="E11" s="71"/>
      <c r="F11" s="87" t="s">
        <v>69</v>
      </c>
      <c r="G11" s="87" t="s">
        <v>69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8"/>
    </row>
    <row r="12" spans="1:25" ht="15" hidden="1" customHeight="1" x14ac:dyDescent="0.25">
      <c r="A12" s="74"/>
      <c r="B12" s="74"/>
      <c r="C12" s="85"/>
      <c r="D12" s="86"/>
      <c r="E12" s="71"/>
      <c r="F12" s="87" t="s">
        <v>5</v>
      </c>
      <c r="G12" s="87" t="s">
        <v>5</v>
      </c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8"/>
    </row>
    <row r="13" spans="1:25" ht="15" hidden="1" customHeight="1" x14ac:dyDescent="0.25">
      <c r="A13" s="89" t="s">
        <v>47</v>
      </c>
      <c r="B13" s="35"/>
      <c r="C13" s="85"/>
      <c r="D13" s="86"/>
      <c r="E13" s="90"/>
      <c r="F13" s="90" t="s">
        <v>20</v>
      </c>
      <c r="G13" s="91" t="s">
        <v>4</v>
      </c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88"/>
    </row>
    <row r="14" spans="1:25" ht="15" hidden="1" customHeight="1" x14ac:dyDescent="0.25">
      <c r="A14" s="92"/>
      <c r="B14" s="93"/>
      <c r="C14" s="94"/>
      <c r="D14" s="95"/>
      <c r="E14" s="96"/>
      <c r="F14" s="96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</row>
    <row r="15" spans="1:25" ht="15" hidden="1" customHeight="1" x14ac:dyDescent="0.25">
      <c r="A15" s="98"/>
      <c r="B15" s="1"/>
      <c r="C15" s="99"/>
      <c r="D15" s="100"/>
      <c r="E15" s="101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</row>
    <row r="16" spans="1:25" ht="15" hidden="1" customHeight="1" x14ac:dyDescent="0.25">
      <c r="A16" s="103" t="s">
        <v>21</v>
      </c>
      <c r="B16" s="39"/>
      <c r="C16" s="104"/>
      <c r="D16" s="105"/>
      <c r="E16" s="106"/>
      <c r="F16" s="3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15" hidden="1" customHeight="1" x14ac:dyDescent="0.25">
      <c r="A17" s="103" t="s">
        <v>32</v>
      </c>
      <c r="B17" s="108" t="s">
        <v>33</v>
      </c>
      <c r="C17" s="103" t="s">
        <v>174</v>
      </c>
      <c r="D17" s="103" t="s">
        <v>65</v>
      </c>
      <c r="E17" s="106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39"/>
    </row>
    <row r="18" spans="1:25" ht="15" hidden="1" customHeight="1" x14ac:dyDescent="0.25">
      <c r="A18" s="109"/>
      <c r="B18" s="110"/>
      <c r="C18" s="2" t="s">
        <v>175</v>
      </c>
      <c r="D18" s="111"/>
      <c r="E18" s="106"/>
      <c r="F18" s="112">
        <v>0</v>
      </c>
      <c r="G18" s="2">
        <f>F18*C4</f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39"/>
    </row>
    <row r="19" spans="1:25" ht="15" hidden="1" customHeight="1" x14ac:dyDescent="0.25">
      <c r="A19" s="109"/>
      <c r="B19" s="110"/>
      <c r="C19" s="2" t="s">
        <v>176</v>
      </c>
      <c r="D19" s="111"/>
      <c r="E19" s="106"/>
      <c r="F19" s="112">
        <v>0</v>
      </c>
      <c r="G19" s="2">
        <f>F19*C4</f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39"/>
    </row>
    <row r="20" spans="1:25" ht="15" hidden="1" customHeight="1" x14ac:dyDescent="0.25">
      <c r="A20" s="109"/>
      <c r="B20" s="110"/>
      <c r="C20" s="2" t="s">
        <v>177</v>
      </c>
      <c r="D20" s="111"/>
      <c r="E20" s="106"/>
      <c r="F20" s="112">
        <v>0</v>
      </c>
      <c r="G20" s="2">
        <f>F20*C4</f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39"/>
    </row>
    <row r="21" spans="1:25" ht="15" hidden="1" customHeight="1" x14ac:dyDescent="0.25">
      <c r="A21" s="109"/>
      <c r="B21" s="110"/>
      <c r="C21" s="2" t="s">
        <v>178</v>
      </c>
      <c r="D21" s="111"/>
      <c r="E21" s="106"/>
      <c r="F21" s="112">
        <v>0</v>
      </c>
      <c r="G21" s="2">
        <f>F21*C4</f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39"/>
    </row>
    <row r="22" spans="1:25" ht="15" hidden="1" customHeight="1" x14ac:dyDescent="0.25">
      <c r="A22" s="109"/>
      <c r="B22" s="110"/>
      <c r="C22" s="2" t="s">
        <v>179</v>
      </c>
      <c r="D22" s="111"/>
      <c r="E22" s="106"/>
      <c r="F22" s="112">
        <v>0</v>
      </c>
      <c r="G22" s="2">
        <f>F22*C4</f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39"/>
    </row>
    <row r="23" spans="1:25" ht="15" hidden="1" customHeight="1" x14ac:dyDescent="0.25">
      <c r="A23" s="109"/>
      <c r="B23" s="110"/>
      <c r="C23" s="2" t="s">
        <v>180</v>
      </c>
      <c r="D23" s="111"/>
      <c r="E23" s="106"/>
      <c r="F23" s="112">
        <v>0</v>
      </c>
      <c r="G23" s="2">
        <f>F23*C4</f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39"/>
    </row>
    <row r="24" spans="1:25" ht="15" hidden="1" customHeight="1" x14ac:dyDescent="0.25">
      <c r="A24" s="109"/>
      <c r="B24" s="110"/>
      <c r="C24" s="2" t="s">
        <v>181</v>
      </c>
      <c r="D24" s="111"/>
      <c r="E24" s="106"/>
      <c r="F24" s="112">
        <v>0</v>
      </c>
      <c r="G24" s="2">
        <f>F24*C4</f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39"/>
    </row>
    <row r="25" spans="1:25" ht="15" hidden="1" customHeight="1" x14ac:dyDescent="0.25">
      <c r="A25" s="109"/>
      <c r="B25" s="110"/>
      <c r="C25" s="2" t="s">
        <v>182</v>
      </c>
      <c r="D25" s="111"/>
      <c r="E25" s="106"/>
      <c r="F25" s="112">
        <v>0</v>
      </c>
      <c r="G25" s="2">
        <f>F25*C4</f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39"/>
    </row>
    <row r="26" spans="1:25" ht="15" hidden="1" customHeight="1" x14ac:dyDescent="0.25">
      <c r="A26" s="109"/>
      <c r="B26" s="110"/>
      <c r="C26" s="2" t="s">
        <v>183</v>
      </c>
      <c r="D26" s="111"/>
      <c r="E26" s="106"/>
      <c r="F26" s="112">
        <v>0</v>
      </c>
      <c r="G26" s="2">
        <f>F26*C4</f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39"/>
    </row>
    <row r="27" spans="1:25" ht="15" hidden="1" customHeight="1" x14ac:dyDescent="0.25">
      <c r="A27" s="109"/>
      <c r="B27" s="110"/>
      <c r="C27" s="2" t="s">
        <v>184</v>
      </c>
      <c r="D27" s="111"/>
      <c r="E27" s="106"/>
      <c r="F27" s="112">
        <v>0</v>
      </c>
      <c r="G27" s="2">
        <f>F27*C4</f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39"/>
    </row>
    <row r="28" spans="1:25" ht="15" hidden="1" customHeight="1" x14ac:dyDescent="0.25">
      <c r="A28" s="103"/>
      <c r="B28" s="108" t="s">
        <v>173</v>
      </c>
      <c r="C28" s="104"/>
      <c r="D28" s="105"/>
      <c r="E28" s="106"/>
      <c r="F28" s="2">
        <f>SUM(F18:F27)</f>
        <v>0</v>
      </c>
      <c r="G28" s="2">
        <f>SUM(G18:G27)</f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39"/>
    </row>
    <row r="29" spans="1:25" ht="15" hidden="1" customHeight="1" x14ac:dyDescent="0.25">
      <c r="A29" s="103"/>
      <c r="B29" s="113"/>
      <c r="C29" s="104"/>
      <c r="D29" s="105"/>
      <c r="E29" s="106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39"/>
    </row>
    <row r="30" spans="1:25" ht="15" hidden="1" customHeight="1" x14ac:dyDescent="0.25">
      <c r="A30" s="103" t="s">
        <v>34</v>
      </c>
      <c r="B30" s="39"/>
      <c r="C30" s="104"/>
      <c r="D30" s="105"/>
      <c r="E30" s="106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39"/>
    </row>
    <row r="31" spans="1:25" ht="15" hidden="1" customHeight="1" x14ac:dyDescent="0.25">
      <c r="A31" s="103" t="s">
        <v>32</v>
      </c>
      <c r="B31" s="108" t="s">
        <v>33</v>
      </c>
      <c r="C31" s="104" t="s">
        <v>174</v>
      </c>
      <c r="D31" s="105"/>
      <c r="E31" s="106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39"/>
    </row>
    <row r="32" spans="1:25" ht="15" hidden="1" customHeight="1" x14ac:dyDescent="0.25">
      <c r="A32" s="114"/>
      <c r="B32" s="110"/>
      <c r="C32" s="115"/>
      <c r="D32" s="105"/>
      <c r="E32" s="106"/>
      <c r="F32" s="112">
        <v>0</v>
      </c>
      <c r="G32" s="2">
        <f>(C4)*F32</f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39"/>
    </row>
    <row r="33" spans="1:25" ht="15" hidden="1" customHeight="1" x14ac:dyDescent="0.25">
      <c r="A33" s="114"/>
      <c r="B33" s="110"/>
      <c r="C33" s="115"/>
      <c r="D33" s="105"/>
      <c r="E33" s="106"/>
      <c r="F33" s="112">
        <v>0</v>
      </c>
      <c r="G33" s="2">
        <f>F33*C4</f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39"/>
    </row>
    <row r="34" spans="1:25" ht="15" hidden="1" customHeight="1" x14ac:dyDescent="0.25">
      <c r="A34" s="114"/>
      <c r="B34" s="110"/>
      <c r="C34" s="115"/>
      <c r="D34" s="105"/>
      <c r="E34" s="106"/>
      <c r="F34" s="112">
        <v>0</v>
      </c>
      <c r="G34" s="2">
        <f>F34*C4</f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39"/>
    </row>
    <row r="35" spans="1:25" ht="15" hidden="1" customHeight="1" x14ac:dyDescent="0.25">
      <c r="A35" s="114"/>
      <c r="B35" s="110"/>
      <c r="C35" s="115"/>
      <c r="D35" s="105"/>
      <c r="E35" s="106"/>
      <c r="F35" s="112">
        <v>0</v>
      </c>
      <c r="G35" s="2">
        <f>F35*C4</f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39"/>
    </row>
    <row r="36" spans="1:25" ht="15" hidden="1" customHeight="1" x14ac:dyDescent="0.25">
      <c r="A36" s="114"/>
      <c r="B36" s="110"/>
      <c r="C36" s="115"/>
      <c r="D36" s="105"/>
      <c r="E36" s="106"/>
      <c r="F36" s="112">
        <v>0</v>
      </c>
      <c r="G36" s="2">
        <f>F36*C4</f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39"/>
    </row>
    <row r="37" spans="1:25" ht="15" hidden="1" customHeight="1" x14ac:dyDescent="0.25">
      <c r="A37" s="114"/>
      <c r="B37" s="110"/>
      <c r="C37" s="115"/>
      <c r="D37" s="105"/>
      <c r="E37" s="106"/>
      <c r="F37" s="112">
        <v>0</v>
      </c>
      <c r="G37" s="2">
        <f>F37*C4</f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39"/>
    </row>
    <row r="38" spans="1:25" ht="15" hidden="1" customHeight="1" x14ac:dyDescent="0.25">
      <c r="A38" s="114"/>
      <c r="B38" s="110"/>
      <c r="C38" s="115"/>
      <c r="D38" s="105"/>
      <c r="E38" s="106"/>
      <c r="F38" s="112">
        <v>0</v>
      </c>
      <c r="G38" s="2">
        <f>F38*C4</f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39"/>
    </row>
    <row r="39" spans="1:25" ht="15" hidden="1" customHeight="1" x14ac:dyDescent="0.25">
      <c r="A39" s="114"/>
      <c r="B39" s="110"/>
      <c r="C39" s="115"/>
      <c r="D39" s="105"/>
      <c r="E39" s="106"/>
      <c r="F39" s="112">
        <v>0</v>
      </c>
      <c r="G39" s="2">
        <f>F39*C4</f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9"/>
    </row>
    <row r="40" spans="1:25" ht="15" hidden="1" customHeight="1" x14ac:dyDescent="0.25">
      <c r="A40" s="114"/>
      <c r="B40" s="110"/>
      <c r="C40" s="115"/>
      <c r="D40" s="105"/>
      <c r="E40" s="106"/>
      <c r="F40" s="112">
        <v>0</v>
      </c>
      <c r="G40" s="2">
        <f>F40*C4</f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39"/>
    </row>
    <row r="41" spans="1:25" ht="15" hidden="1" customHeight="1" x14ac:dyDescent="0.25">
      <c r="A41" s="114"/>
      <c r="B41" s="110"/>
      <c r="C41" s="115"/>
      <c r="D41" s="105"/>
      <c r="E41" s="106"/>
      <c r="F41" s="112">
        <v>0</v>
      </c>
      <c r="G41" s="2">
        <f>F41*C4</f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39"/>
    </row>
    <row r="42" spans="1:25" ht="15" hidden="1" customHeight="1" x14ac:dyDescent="0.25">
      <c r="A42" s="103"/>
      <c r="B42" s="108" t="s">
        <v>173</v>
      </c>
      <c r="C42" s="104"/>
      <c r="D42" s="105"/>
      <c r="E42" s="106"/>
      <c r="F42" s="2">
        <f>SUM(F32:F41)</f>
        <v>0</v>
      </c>
      <c r="G42" s="2">
        <f>SUM(G32:G41)</f>
        <v>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39"/>
    </row>
    <row r="43" spans="1:25" ht="15" hidden="1" customHeight="1" x14ac:dyDescent="0.25">
      <c r="A43" s="103"/>
      <c r="B43" s="103" t="s">
        <v>64</v>
      </c>
      <c r="C43" s="104"/>
      <c r="D43" s="105"/>
      <c r="E43" s="106"/>
      <c r="F43" s="116">
        <v>0</v>
      </c>
      <c r="G43" s="2">
        <f>F43*C4</f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39"/>
    </row>
    <row r="44" spans="1:25" ht="15" hidden="1" customHeight="1" x14ac:dyDescent="0.25">
      <c r="A44" s="103"/>
      <c r="B44" s="39"/>
      <c r="C44" s="104"/>
      <c r="D44" s="105"/>
      <c r="E44" s="106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39"/>
    </row>
    <row r="45" spans="1:25" ht="15" hidden="1" customHeight="1" x14ac:dyDescent="0.25">
      <c r="A45" s="103" t="s">
        <v>35</v>
      </c>
      <c r="B45" s="39"/>
      <c r="C45" s="104"/>
      <c r="D45" s="105"/>
      <c r="E45" s="106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39"/>
    </row>
    <row r="46" spans="1:25" ht="15" hidden="1" customHeight="1" x14ac:dyDescent="0.25">
      <c r="A46" s="103" t="s">
        <v>32</v>
      </c>
      <c r="B46" s="108" t="s">
        <v>33</v>
      </c>
      <c r="C46" s="104" t="s">
        <v>174</v>
      </c>
      <c r="D46" s="105"/>
      <c r="E46" s="106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39"/>
    </row>
    <row r="47" spans="1:25" ht="15" hidden="1" customHeight="1" x14ac:dyDescent="0.25">
      <c r="A47" s="114"/>
      <c r="B47" s="110"/>
      <c r="C47" s="115"/>
      <c r="D47" s="105"/>
      <c r="E47" s="106"/>
      <c r="F47" s="112">
        <v>0</v>
      </c>
      <c r="G47" s="2">
        <f>F47*C4</f>
        <v>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39"/>
    </row>
    <row r="48" spans="1:25" ht="15" hidden="1" customHeight="1" x14ac:dyDescent="0.25">
      <c r="A48" s="114"/>
      <c r="B48" s="110"/>
      <c r="C48" s="115"/>
      <c r="D48" s="105"/>
      <c r="E48" s="106"/>
      <c r="F48" s="112">
        <v>0</v>
      </c>
      <c r="G48" s="2">
        <f>F48*C4</f>
        <v>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39"/>
    </row>
    <row r="49" spans="1:25" ht="15" hidden="1" customHeight="1" x14ac:dyDescent="0.25">
      <c r="A49" s="114"/>
      <c r="B49" s="110"/>
      <c r="C49" s="115"/>
      <c r="D49" s="105"/>
      <c r="E49" s="106"/>
      <c r="F49" s="112">
        <v>0</v>
      </c>
      <c r="G49" s="2">
        <f>F49*C4</f>
        <v>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39"/>
    </row>
    <row r="50" spans="1:25" ht="15" hidden="1" customHeight="1" x14ac:dyDescent="0.25">
      <c r="A50" s="114"/>
      <c r="B50" s="110"/>
      <c r="C50" s="115"/>
      <c r="D50" s="105"/>
      <c r="E50" s="106"/>
      <c r="F50" s="112">
        <v>0</v>
      </c>
      <c r="G50" s="2">
        <f>F50*C4</f>
        <v>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39"/>
    </row>
    <row r="51" spans="1:25" ht="15" hidden="1" customHeight="1" x14ac:dyDescent="0.25">
      <c r="A51" s="114"/>
      <c r="B51" s="110"/>
      <c r="C51" s="115"/>
      <c r="D51" s="105"/>
      <c r="E51" s="106"/>
      <c r="F51" s="112">
        <v>0</v>
      </c>
      <c r="G51" s="2">
        <f>F51*C4</f>
        <v>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39"/>
    </row>
    <row r="52" spans="1:25" ht="15" hidden="1" customHeight="1" x14ac:dyDescent="0.25">
      <c r="A52" s="114"/>
      <c r="B52" s="110"/>
      <c r="C52" s="115"/>
      <c r="D52" s="105"/>
      <c r="E52" s="106"/>
      <c r="F52" s="112">
        <v>0</v>
      </c>
      <c r="G52" s="2">
        <f>F52*C4</f>
        <v>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39"/>
    </row>
    <row r="53" spans="1:25" ht="15" hidden="1" customHeight="1" x14ac:dyDescent="0.25">
      <c r="A53" s="114"/>
      <c r="B53" s="110"/>
      <c r="C53" s="115"/>
      <c r="D53" s="105"/>
      <c r="E53" s="106"/>
      <c r="F53" s="112">
        <v>0</v>
      </c>
      <c r="G53" s="2">
        <f>F53*C4</f>
        <v>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39"/>
    </row>
    <row r="54" spans="1:25" ht="15" hidden="1" customHeight="1" x14ac:dyDescent="0.25">
      <c r="A54" s="114"/>
      <c r="B54" s="110"/>
      <c r="C54" s="115"/>
      <c r="D54" s="105"/>
      <c r="E54" s="106"/>
      <c r="F54" s="112">
        <v>0</v>
      </c>
      <c r="G54" s="2">
        <f>F54*C4</f>
        <v>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39"/>
    </row>
    <row r="55" spans="1:25" ht="15" hidden="1" customHeight="1" x14ac:dyDescent="0.25">
      <c r="A55" s="114"/>
      <c r="B55" s="110"/>
      <c r="C55" s="115"/>
      <c r="D55" s="105"/>
      <c r="E55" s="106"/>
      <c r="F55" s="112">
        <v>0</v>
      </c>
      <c r="G55" s="2">
        <f>F55*C4</f>
        <v>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39"/>
    </row>
    <row r="56" spans="1:25" ht="15" hidden="1" customHeight="1" x14ac:dyDescent="0.25">
      <c r="A56" s="114"/>
      <c r="B56" s="110"/>
      <c r="C56" s="115"/>
      <c r="D56" s="105"/>
      <c r="E56" s="106"/>
      <c r="F56" s="112">
        <v>0</v>
      </c>
      <c r="G56" s="2">
        <f>F56*C4</f>
        <v>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39"/>
    </row>
    <row r="57" spans="1:25" ht="15" hidden="1" customHeight="1" x14ac:dyDescent="0.25">
      <c r="A57" s="103"/>
      <c r="B57" s="108" t="s">
        <v>173</v>
      </c>
      <c r="C57" s="104"/>
      <c r="D57" s="105"/>
      <c r="E57" s="106"/>
      <c r="F57" s="4">
        <f>SUM(F47:F56)</f>
        <v>0</v>
      </c>
      <c r="G57" s="2">
        <f>SUM(G47:G56)</f>
        <v>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39"/>
    </row>
    <row r="58" spans="1:25" ht="15" hidden="1" customHeight="1" x14ac:dyDescent="0.25">
      <c r="A58" s="103"/>
      <c r="B58" s="39"/>
      <c r="C58" s="104"/>
      <c r="D58" s="105"/>
      <c r="E58" s="106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39"/>
    </row>
    <row r="59" spans="1:25" ht="15" hidden="1" customHeight="1" x14ac:dyDescent="0.25">
      <c r="A59" s="103" t="s">
        <v>22</v>
      </c>
      <c r="B59" s="39"/>
      <c r="C59" s="104"/>
      <c r="D59" s="105"/>
      <c r="E59" s="10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39"/>
    </row>
    <row r="60" spans="1:25" ht="15" hidden="1" customHeight="1" x14ac:dyDescent="0.25">
      <c r="A60" s="103" t="s">
        <v>32</v>
      </c>
      <c r="B60" s="108" t="s">
        <v>33</v>
      </c>
      <c r="C60" s="104" t="s">
        <v>174</v>
      </c>
      <c r="D60" s="105"/>
      <c r="E60" s="106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39"/>
    </row>
    <row r="61" spans="1:25" ht="15" hidden="1" customHeight="1" x14ac:dyDescent="0.25">
      <c r="A61" s="114"/>
      <c r="B61" s="110"/>
      <c r="C61" s="115"/>
      <c r="D61" s="105"/>
      <c r="E61" s="106"/>
      <c r="F61" s="112">
        <v>0</v>
      </c>
      <c r="G61" s="2">
        <f>F61*C4</f>
        <v>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39"/>
    </row>
    <row r="62" spans="1:25" ht="15" hidden="1" customHeight="1" x14ac:dyDescent="0.25">
      <c r="A62" s="114"/>
      <c r="B62" s="110"/>
      <c r="C62" s="115"/>
      <c r="D62" s="105"/>
      <c r="E62" s="106"/>
      <c r="F62" s="112">
        <v>0</v>
      </c>
      <c r="G62" s="2">
        <f>F62*C4</f>
        <v>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39"/>
    </row>
    <row r="63" spans="1:25" ht="15" hidden="1" customHeight="1" x14ac:dyDescent="0.25">
      <c r="A63" s="114"/>
      <c r="B63" s="110"/>
      <c r="C63" s="115"/>
      <c r="D63" s="105"/>
      <c r="E63" s="106"/>
      <c r="F63" s="112">
        <v>0</v>
      </c>
      <c r="G63" s="2">
        <f>F63*C4</f>
        <v>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39"/>
    </row>
    <row r="64" spans="1:25" ht="15" hidden="1" customHeight="1" x14ac:dyDescent="0.25">
      <c r="A64" s="114"/>
      <c r="B64" s="110"/>
      <c r="C64" s="115"/>
      <c r="D64" s="105"/>
      <c r="E64" s="106"/>
      <c r="F64" s="112">
        <v>0</v>
      </c>
      <c r="G64" s="2">
        <f>F64*C4</f>
        <v>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39"/>
    </row>
    <row r="65" spans="1:25" ht="15" hidden="1" customHeight="1" x14ac:dyDescent="0.25">
      <c r="A65" s="114"/>
      <c r="B65" s="110"/>
      <c r="C65" s="115"/>
      <c r="D65" s="105"/>
      <c r="E65" s="106"/>
      <c r="F65" s="112">
        <v>0</v>
      </c>
      <c r="G65" s="2">
        <f>F65*C4</f>
        <v>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39"/>
    </row>
    <row r="66" spans="1:25" ht="15" hidden="1" customHeight="1" x14ac:dyDescent="0.25">
      <c r="A66" s="114"/>
      <c r="B66" s="110"/>
      <c r="C66" s="115"/>
      <c r="D66" s="105"/>
      <c r="E66" s="106"/>
      <c r="F66" s="112">
        <v>0</v>
      </c>
      <c r="G66" s="2">
        <f>F66*C4</f>
        <v>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39"/>
    </row>
    <row r="67" spans="1:25" ht="15" hidden="1" customHeight="1" x14ac:dyDescent="0.25">
      <c r="A67" s="114"/>
      <c r="B67" s="110"/>
      <c r="C67" s="115"/>
      <c r="D67" s="105"/>
      <c r="E67" s="106"/>
      <c r="F67" s="112">
        <v>0</v>
      </c>
      <c r="G67" s="2">
        <f>F67*C4</f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39"/>
    </row>
    <row r="68" spans="1:25" ht="15" hidden="1" customHeight="1" x14ac:dyDescent="0.25">
      <c r="A68" s="114"/>
      <c r="B68" s="110"/>
      <c r="C68" s="115"/>
      <c r="D68" s="105"/>
      <c r="E68" s="106"/>
      <c r="F68" s="112">
        <v>0</v>
      </c>
      <c r="G68" s="2">
        <f>F68*C4</f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39"/>
    </row>
    <row r="69" spans="1:25" ht="15" hidden="1" customHeight="1" x14ac:dyDescent="0.25">
      <c r="A69" s="114"/>
      <c r="B69" s="110"/>
      <c r="C69" s="115"/>
      <c r="D69" s="105"/>
      <c r="E69" s="106"/>
      <c r="F69" s="112">
        <v>0</v>
      </c>
      <c r="G69" s="2">
        <f>F69*C4</f>
        <v>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39"/>
    </row>
    <row r="70" spans="1:25" ht="15" hidden="1" customHeight="1" x14ac:dyDescent="0.25">
      <c r="A70" s="114"/>
      <c r="B70" s="110"/>
      <c r="C70" s="115"/>
      <c r="D70" s="105"/>
      <c r="E70" s="106"/>
      <c r="F70" s="112">
        <v>0</v>
      </c>
      <c r="G70" s="2">
        <f>F70*C4</f>
        <v>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9"/>
    </row>
    <row r="71" spans="1:25" ht="15" hidden="1" customHeight="1" x14ac:dyDescent="0.25">
      <c r="A71" s="103"/>
      <c r="B71" s="108" t="s">
        <v>173</v>
      </c>
      <c r="C71" s="104"/>
      <c r="D71" s="105"/>
      <c r="E71" s="106"/>
      <c r="F71" s="4">
        <f>SUM(F61:F70)</f>
        <v>0</v>
      </c>
      <c r="G71" s="2">
        <f>SUM(G61:G70)</f>
        <v>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39"/>
    </row>
    <row r="72" spans="1:25" ht="15" hidden="1" customHeight="1" x14ac:dyDescent="0.25">
      <c r="A72" s="103"/>
      <c r="B72" s="39"/>
      <c r="C72" s="104"/>
      <c r="D72" s="105"/>
      <c r="E72" s="106"/>
      <c r="F72" s="3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</row>
    <row r="73" spans="1:25" ht="15" hidden="1" customHeight="1" thickBot="1" x14ac:dyDescent="0.3">
      <c r="A73" s="117" t="s">
        <v>3</v>
      </c>
      <c r="B73" s="117"/>
      <c r="C73" s="118"/>
      <c r="D73" s="119"/>
      <c r="E73" s="120"/>
      <c r="F73" s="29">
        <f>SUM(F28+F42+F43+F57+F71)</f>
        <v>0</v>
      </c>
      <c r="G73" s="29">
        <f>SUM(G28+G42+G43+G57+G71)</f>
        <v>0</v>
      </c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39"/>
    </row>
    <row r="74" spans="1:25" ht="15" hidden="1" customHeight="1" x14ac:dyDescent="0.25">
      <c r="A74" s="103"/>
      <c r="B74" s="103"/>
      <c r="C74" s="122"/>
      <c r="D74" s="123"/>
      <c r="E74" s="124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39"/>
    </row>
    <row r="75" spans="1:25" ht="15" customHeight="1" thickBot="1" x14ac:dyDescent="0.3">
      <c r="A75" s="74" t="s">
        <v>6</v>
      </c>
      <c r="B75" s="103"/>
      <c r="C75" s="122"/>
      <c r="D75" s="126"/>
      <c r="E75" s="127"/>
      <c r="F75" s="3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6" spans="1:25" ht="15" customHeight="1" thickBot="1" x14ac:dyDescent="0.3">
      <c r="A76" s="35"/>
      <c r="B76" s="74" t="s">
        <v>306</v>
      </c>
      <c r="C76" s="85" t="s">
        <v>30</v>
      </c>
      <c r="D76" s="86" t="s">
        <v>31</v>
      </c>
      <c r="E76" s="71" t="s">
        <v>0</v>
      </c>
      <c r="F76" s="87" t="s">
        <v>69</v>
      </c>
      <c r="G76" s="87" t="s">
        <v>69</v>
      </c>
      <c r="H76" s="847" t="s">
        <v>185</v>
      </c>
      <c r="I76" s="848"/>
      <c r="J76" s="848"/>
      <c r="K76" s="848"/>
      <c r="L76" s="848"/>
      <c r="M76" s="848"/>
      <c r="N76" s="848"/>
      <c r="O76" s="848"/>
      <c r="P76" s="848"/>
      <c r="Q76" s="849"/>
      <c r="R76" s="87" t="s">
        <v>302</v>
      </c>
      <c r="S76" s="87" t="s">
        <v>303</v>
      </c>
      <c r="T76" s="87" t="s">
        <v>303</v>
      </c>
      <c r="U76" s="87" t="s">
        <v>302</v>
      </c>
      <c r="V76" s="87" t="s">
        <v>303</v>
      </c>
      <c r="W76" s="91" t="s">
        <v>303</v>
      </c>
      <c r="X76" s="91" t="s">
        <v>305</v>
      </c>
      <c r="Y76" s="35"/>
    </row>
    <row r="77" spans="1:25" ht="15" customHeight="1" thickBot="1" x14ac:dyDescent="0.3">
      <c r="A77" s="35"/>
      <c r="B77" s="74"/>
      <c r="C77" s="85"/>
      <c r="D77" s="86"/>
      <c r="E77" s="71"/>
      <c r="F77" s="87" t="s">
        <v>5</v>
      </c>
      <c r="G77" s="87" t="s">
        <v>5</v>
      </c>
      <c r="H77" s="128" t="s">
        <v>175</v>
      </c>
      <c r="I77" s="128" t="s">
        <v>176</v>
      </c>
      <c r="J77" s="128" t="s">
        <v>177</v>
      </c>
      <c r="K77" s="128" t="s">
        <v>178</v>
      </c>
      <c r="L77" s="128" t="s">
        <v>179</v>
      </c>
      <c r="M77" s="128" t="s">
        <v>180</v>
      </c>
      <c r="N77" s="128" t="s">
        <v>181</v>
      </c>
      <c r="O77" s="128" t="s">
        <v>182</v>
      </c>
      <c r="P77" s="128" t="s">
        <v>183</v>
      </c>
      <c r="Q77" s="128" t="s">
        <v>184</v>
      </c>
      <c r="R77" s="90"/>
      <c r="S77" s="87"/>
      <c r="T77" s="87"/>
      <c r="U77" s="87"/>
      <c r="V77" s="87"/>
      <c r="W77" s="88"/>
      <c r="X77" s="88"/>
      <c r="Y77" s="35"/>
    </row>
    <row r="78" spans="1:25" ht="15" customHeight="1" x14ac:dyDescent="0.25">
      <c r="A78" s="74"/>
      <c r="B78" s="74"/>
      <c r="C78" s="85" t="s">
        <v>1</v>
      </c>
      <c r="D78" s="86" t="s">
        <v>2</v>
      </c>
      <c r="E78" s="90" t="s">
        <v>20</v>
      </c>
      <c r="F78" s="90" t="s">
        <v>20</v>
      </c>
      <c r="G78" s="91" t="s">
        <v>4</v>
      </c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90" t="s">
        <v>20</v>
      </c>
      <c r="S78" s="90" t="s">
        <v>20</v>
      </c>
      <c r="T78" s="219" t="s">
        <v>304</v>
      </c>
      <c r="U78" s="219" t="s">
        <v>4</v>
      </c>
      <c r="V78" s="219" t="s">
        <v>4</v>
      </c>
      <c r="W78" s="91" t="s">
        <v>304</v>
      </c>
      <c r="X78" s="91"/>
      <c r="Y78" s="35"/>
    </row>
    <row r="79" spans="1:25" ht="15" customHeight="1" x14ac:dyDescent="0.25">
      <c r="A79" s="74" t="s">
        <v>83</v>
      </c>
      <c r="B79" s="74"/>
      <c r="C79" s="85"/>
      <c r="D79" s="86"/>
      <c r="E79" s="90"/>
      <c r="F79" s="90"/>
      <c r="G79" s="91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20"/>
      <c r="S79" s="220"/>
      <c r="T79" s="220"/>
      <c r="U79" s="220"/>
      <c r="V79" s="220"/>
      <c r="W79" s="220"/>
      <c r="X79" s="220"/>
      <c r="Y79" s="35"/>
    </row>
    <row r="80" spans="1:25" ht="15" customHeight="1" x14ac:dyDescent="0.25">
      <c r="A80" s="129">
        <v>1</v>
      </c>
      <c r="B80" s="130" t="s">
        <v>84</v>
      </c>
      <c r="C80" s="134"/>
      <c r="D80" s="133"/>
      <c r="E80" s="135"/>
      <c r="F80" s="404"/>
      <c r="G80" s="137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21"/>
      <c r="S80" s="221"/>
      <c r="T80" s="221"/>
      <c r="U80" s="221"/>
      <c r="V80" s="221"/>
      <c r="W80" s="221"/>
      <c r="X80" s="221"/>
      <c r="Y80" s="35"/>
    </row>
    <row r="81" spans="1:25" ht="15" customHeight="1" x14ac:dyDescent="0.25">
      <c r="A81" s="200">
        <v>1.1000000000000001</v>
      </c>
      <c r="B81" s="113" t="s">
        <v>87</v>
      </c>
      <c r="C81" s="18"/>
      <c r="D81" s="22"/>
      <c r="E81" s="15"/>
      <c r="F81" s="31">
        <v>0</v>
      </c>
      <c r="G81" s="32">
        <f>F81*C4</f>
        <v>0</v>
      </c>
      <c r="H81" s="240"/>
      <c r="I81" s="240"/>
      <c r="J81" s="240"/>
      <c r="K81" s="240"/>
      <c r="L81" s="240"/>
      <c r="M81" s="240"/>
      <c r="N81" s="240"/>
      <c r="O81" s="240"/>
      <c r="P81" s="240"/>
      <c r="Q81" s="249"/>
      <c r="R81" s="263"/>
      <c r="S81" s="222">
        <f>R81-F81</f>
        <v>0</v>
      </c>
      <c r="T81" s="228">
        <f>IF(F81=0,0,S81/F81)</f>
        <v>0</v>
      </c>
      <c r="U81" s="222">
        <f>R81*$C$4</f>
        <v>0</v>
      </c>
      <c r="V81" s="222">
        <f>U81-G81</f>
        <v>0</v>
      </c>
      <c r="W81" s="228">
        <f>IF(G81=0,0,V81/G81)</f>
        <v>0</v>
      </c>
      <c r="X81" s="228"/>
      <c r="Y81" s="35"/>
    </row>
    <row r="82" spans="1:25" ht="15" customHeight="1" x14ac:dyDescent="0.25">
      <c r="A82" s="103" t="s">
        <v>110</v>
      </c>
      <c r="B82" s="113"/>
      <c r="C82" s="4"/>
      <c r="D82" s="139"/>
      <c r="E82" s="3"/>
      <c r="F82" s="3"/>
      <c r="G82" s="32"/>
      <c r="H82" s="239"/>
      <c r="I82" s="239"/>
      <c r="J82" s="239"/>
      <c r="K82" s="239"/>
      <c r="L82" s="239"/>
      <c r="M82" s="239"/>
      <c r="N82" s="239"/>
      <c r="O82" s="239"/>
      <c r="P82" s="239"/>
      <c r="Q82" s="250"/>
      <c r="R82" s="255"/>
      <c r="S82" s="222"/>
      <c r="T82" s="228"/>
      <c r="U82" s="222"/>
      <c r="V82" s="222"/>
      <c r="W82" s="228"/>
      <c r="X82" s="228"/>
      <c r="Y82" s="35"/>
    </row>
    <row r="83" spans="1:25" ht="15" hidden="1" customHeight="1" x14ac:dyDescent="0.25">
      <c r="A83" s="209" t="s">
        <v>86</v>
      </c>
      <c r="B83" s="46"/>
      <c r="C83" s="18"/>
      <c r="D83" s="22"/>
      <c r="E83" s="15"/>
      <c r="F83" s="33">
        <f t="shared" ref="F83:F88" si="0">D83*E83</f>
        <v>0</v>
      </c>
      <c r="G83" s="32">
        <f>F83*C4</f>
        <v>0</v>
      </c>
      <c r="H83" s="239"/>
      <c r="I83" s="239"/>
      <c r="J83" s="239"/>
      <c r="K83" s="239"/>
      <c r="L83" s="239"/>
      <c r="M83" s="239"/>
      <c r="N83" s="239"/>
      <c r="O83" s="239"/>
      <c r="P83" s="239"/>
      <c r="Q83" s="250"/>
      <c r="R83" s="261"/>
      <c r="S83" s="222">
        <f t="shared" ref="S83:S146" si="1">R83-F83</f>
        <v>0</v>
      </c>
      <c r="T83" s="228">
        <f t="shared" ref="T83:T146" si="2">IF(F83=0,0,S83/F83)</f>
        <v>0</v>
      </c>
      <c r="U83" s="222">
        <f t="shared" ref="U83:U146" si="3">R83*$C$4</f>
        <v>0</v>
      </c>
      <c r="V83" s="222">
        <f t="shared" ref="V83:V146" si="4">U83-G83</f>
        <v>0</v>
      </c>
      <c r="W83" s="228">
        <f t="shared" ref="W83:W146" si="5">IF(G83=0,0,V83/G83)</f>
        <v>0</v>
      </c>
      <c r="X83" s="228"/>
      <c r="Y83" s="35"/>
    </row>
    <row r="84" spans="1:25" ht="15" hidden="1" customHeight="1" x14ac:dyDescent="0.25">
      <c r="A84" s="210" t="s">
        <v>89</v>
      </c>
      <c r="B84" s="46"/>
      <c r="C84" s="18"/>
      <c r="D84" s="22"/>
      <c r="E84" s="15"/>
      <c r="F84" s="33">
        <f t="shared" si="0"/>
        <v>0</v>
      </c>
      <c r="G84" s="32">
        <f>F84*C4</f>
        <v>0</v>
      </c>
      <c r="H84" s="239"/>
      <c r="I84" s="239"/>
      <c r="J84" s="239"/>
      <c r="K84" s="239"/>
      <c r="L84" s="239"/>
      <c r="M84" s="239"/>
      <c r="N84" s="239"/>
      <c r="O84" s="239"/>
      <c r="P84" s="239"/>
      <c r="Q84" s="250"/>
      <c r="R84" s="261"/>
      <c r="S84" s="222">
        <f t="shared" si="1"/>
        <v>0</v>
      </c>
      <c r="T84" s="228">
        <f t="shared" si="2"/>
        <v>0</v>
      </c>
      <c r="U84" s="222">
        <f t="shared" si="3"/>
        <v>0</v>
      </c>
      <c r="V84" s="222">
        <f t="shared" si="4"/>
        <v>0</v>
      </c>
      <c r="W84" s="228">
        <f t="shared" si="5"/>
        <v>0</v>
      </c>
      <c r="X84" s="228"/>
      <c r="Y84" s="35"/>
    </row>
    <row r="85" spans="1:25" ht="15" hidden="1" customHeight="1" x14ac:dyDescent="0.25">
      <c r="A85" s="210" t="s">
        <v>90</v>
      </c>
      <c r="B85" s="46"/>
      <c r="C85" s="18"/>
      <c r="D85" s="22"/>
      <c r="E85" s="15"/>
      <c r="F85" s="33">
        <f t="shared" si="0"/>
        <v>0</v>
      </c>
      <c r="G85" s="32">
        <f>F85*C4</f>
        <v>0</v>
      </c>
      <c r="H85" s="239"/>
      <c r="I85" s="239"/>
      <c r="J85" s="239"/>
      <c r="K85" s="239"/>
      <c r="L85" s="239"/>
      <c r="M85" s="239"/>
      <c r="N85" s="239"/>
      <c r="O85" s="239"/>
      <c r="P85" s="239"/>
      <c r="Q85" s="250"/>
      <c r="R85" s="261"/>
      <c r="S85" s="222">
        <f t="shared" si="1"/>
        <v>0</v>
      </c>
      <c r="T85" s="228">
        <f t="shared" si="2"/>
        <v>0</v>
      </c>
      <c r="U85" s="222">
        <f t="shared" si="3"/>
        <v>0</v>
      </c>
      <c r="V85" s="222">
        <f t="shared" si="4"/>
        <v>0</v>
      </c>
      <c r="W85" s="228">
        <f t="shared" si="5"/>
        <v>0</v>
      </c>
      <c r="X85" s="228"/>
      <c r="Y85" s="35"/>
    </row>
    <row r="86" spans="1:25" ht="15" hidden="1" customHeight="1" x14ac:dyDescent="0.25">
      <c r="A86" s="210" t="s">
        <v>91</v>
      </c>
      <c r="B86" s="46"/>
      <c r="C86" s="18"/>
      <c r="D86" s="22"/>
      <c r="E86" s="15"/>
      <c r="F86" s="33">
        <f t="shared" si="0"/>
        <v>0</v>
      </c>
      <c r="G86" s="32">
        <f>F86*C4</f>
        <v>0</v>
      </c>
      <c r="H86" s="239"/>
      <c r="I86" s="239"/>
      <c r="J86" s="239"/>
      <c r="K86" s="239"/>
      <c r="L86" s="239"/>
      <c r="M86" s="239"/>
      <c r="N86" s="239"/>
      <c r="O86" s="239"/>
      <c r="P86" s="239"/>
      <c r="Q86" s="250"/>
      <c r="R86" s="261"/>
      <c r="S86" s="222">
        <f t="shared" si="1"/>
        <v>0</v>
      </c>
      <c r="T86" s="228">
        <f t="shared" si="2"/>
        <v>0</v>
      </c>
      <c r="U86" s="222">
        <f t="shared" si="3"/>
        <v>0</v>
      </c>
      <c r="V86" s="222">
        <f t="shared" si="4"/>
        <v>0</v>
      </c>
      <c r="W86" s="228">
        <f t="shared" si="5"/>
        <v>0</v>
      </c>
      <c r="X86" s="228"/>
      <c r="Y86" s="35"/>
    </row>
    <row r="87" spans="1:25" ht="15" hidden="1" customHeight="1" x14ac:dyDescent="0.25">
      <c r="A87" s="210" t="s">
        <v>92</v>
      </c>
      <c r="B87" s="46"/>
      <c r="C87" s="18"/>
      <c r="D87" s="22"/>
      <c r="E87" s="15"/>
      <c r="F87" s="33">
        <f t="shared" si="0"/>
        <v>0</v>
      </c>
      <c r="G87" s="32">
        <f>F87*C4</f>
        <v>0</v>
      </c>
      <c r="H87" s="239"/>
      <c r="I87" s="239"/>
      <c r="J87" s="239"/>
      <c r="K87" s="239"/>
      <c r="L87" s="239"/>
      <c r="M87" s="239"/>
      <c r="N87" s="239"/>
      <c r="O87" s="239"/>
      <c r="P87" s="239"/>
      <c r="Q87" s="250"/>
      <c r="R87" s="261"/>
      <c r="S87" s="222">
        <f t="shared" si="1"/>
        <v>0</v>
      </c>
      <c r="T87" s="228">
        <f t="shared" si="2"/>
        <v>0</v>
      </c>
      <c r="U87" s="222">
        <f t="shared" si="3"/>
        <v>0</v>
      </c>
      <c r="V87" s="222">
        <f t="shared" si="4"/>
        <v>0</v>
      </c>
      <c r="W87" s="228">
        <f t="shared" si="5"/>
        <v>0</v>
      </c>
      <c r="X87" s="228"/>
      <c r="Y87" s="35"/>
    </row>
    <row r="88" spans="1:25" ht="15" hidden="1" customHeight="1" x14ac:dyDescent="0.25">
      <c r="A88" s="210" t="s">
        <v>93</v>
      </c>
      <c r="B88" s="46"/>
      <c r="C88" s="18"/>
      <c r="D88" s="22"/>
      <c r="E88" s="15"/>
      <c r="F88" s="33">
        <f t="shared" si="0"/>
        <v>0</v>
      </c>
      <c r="G88" s="32">
        <f>F88*C4</f>
        <v>0</v>
      </c>
      <c r="H88" s="239"/>
      <c r="I88" s="239"/>
      <c r="J88" s="239"/>
      <c r="K88" s="239"/>
      <c r="L88" s="239"/>
      <c r="M88" s="239"/>
      <c r="N88" s="239"/>
      <c r="O88" s="239"/>
      <c r="P88" s="239"/>
      <c r="Q88" s="250"/>
      <c r="R88" s="261"/>
      <c r="S88" s="222">
        <f t="shared" si="1"/>
        <v>0</v>
      </c>
      <c r="T88" s="228">
        <f t="shared" si="2"/>
        <v>0</v>
      </c>
      <c r="U88" s="222">
        <f t="shared" si="3"/>
        <v>0</v>
      </c>
      <c r="V88" s="222">
        <f t="shared" si="4"/>
        <v>0</v>
      </c>
      <c r="W88" s="228">
        <f t="shared" si="5"/>
        <v>0</v>
      </c>
      <c r="X88" s="228"/>
      <c r="Y88" s="35"/>
    </row>
    <row r="89" spans="1:25" ht="15" customHeight="1" x14ac:dyDescent="0.25">
      <c r="A89" s="207"/>
      <c r="B89" s="208"/>
      <c r="C89" s="12"/>
      <c r="D89" s="23"/>
      <c r="E89" s="24"/>
      <c r="F89" s="34"/>
      <c r="G89" s="35"/>
      <c r="H89" s="239"/>
      <c r="I89" s="239"/>
      <c r="J89" s="239"/>
      <c r="K89" s="239"/>
      <c r="L89" s="239"/>
      <c r="M89" s="239"/>
      <c r="N89" s="239"/>
      <c r="O89" s="239"/>
      <c r="P89" s="239"/>
      <c r="Q89" s="250"/>
      <c r="R89" s="256"/>
      <c r="S89" s="222"/>
      <c r="T89" s="228"/>
      <c r="U89" s="222"/>
      <c r="V89" s="222"/>
      <c r="W89" s="228"/>
      <c r="X89" s="228"/>
      <c r="Y89" s="35"/>
    </row>
    <row r="90" spans="1:25" ht="15" customHeight="1" x14ac:dyDescent="0.25">
      <c r="A90" s="103" t="s">
        <v>111</v>
      </c>
      <c r="B90" s="35"/>
      <c r="C90" s="2"/>
      <c r="D90" s="146"/>
      <c r="E90" s="147"/>
      <c r="F90" s="34"/>
      <c r="G90" s="35"/>
      <c r="H90" s="239"/>
      <c r="I90" s="239"/>
      <c r="J90" s="239"/>
      <c r="K90" s="239"/>
      <c r="L90" s="239"/>
      <c r="M90" s="239"/>
      <c r="N90" s="239"/>
      <c r="O90" s="239"/>
      <c r="P90" s="239"/>
      <c r="Q90" s="250"/>
      <c r="R90" s="256"/>
      <c r="S90" s="222"/>
      <c r="T90" s="228"/>
      <c r="U90" s="222"/>
      <c r="V90" s="222"/>
      <c r="W90" s="228"/>
      <c r="X90" s="228"/>
      <c r="Y90" s="35"/>
    </row>
    <row r="91" spans="1:25" ht="15" customHeight="1" x14ac:dyDescent="0.25">
      <c r="A91" s="81" t="s">
        <v>88</v>
      </c>
      <c r="B91" s="46" t="s">
        <v>437</v>
      </c>
      <c r="C91" s="18" t="s">
        <v>432</v>
      </c>
      <c r="D91" s="22">
        <v>12</v>
      </c>
      <c r="E91" s="15">
        <f>725*50%</f>
        <v>362.5</v>
      </c>
      <c r="F91" s="34">
        <f t="shared" ref="F91:F99" si="6">D91*E91</f>
        <v>4350</v>
      </c>
      <c r="G91" s="35">
        <f>F91*C4</f>
        <v>4350</v>
      </c>
      <c r="H91" s="239"/>
      <c r="I91" s="239"/>
      <c r="J91" s="239"/>
      <c r="K91" s="239"/>
      <c r="L91" s="239"/>
      <c r="M91" s="239"/>
      <c r="N91" s="239"/>
      <c r="O91" s="239"/>
      <c r="P91" s="239"/>
      <c r="Q91" s="250"/>
      <c r="R91" s="261"/>
      <c r="S91" s="222">
        <f t="shared" si="1"/>
        <v>-4350</v>
      </c>
      <c r="T91" s="228">
        <f t="shared" si="2"/>
        <v>-1</v>
      </c>
      <c r="U91" s="222">
        <f t="shared" si="3"/>
        <v>0</v>
      </c>
      <c r="V91" s="222">
        <f t="shared" si="4"/>
        <v>-4350</v>
      </c>
      <c r="W91" s="228">
        <f t="shared" si="5"/>
        <v>-1</v>
      </c>
      <c r="X91" s="228"/>
      <c r="Y91" s="35"/>
    </row>
    <row r="92" spans="1:25" ht="15" customHeight="1" x14ac:dyDescent="0.25">
      <c r="A92" s="148" t="s">
        <v>94</v>
      </c>
      <c r="B92" s="46" t="s">
        <v>438</v>
      </c>
      <c r="C92" s="18" t="s">
        <v>432</v>
      </c>
      <c r="D92" s="22">
        <v>12</v>
      </c>
      <c r="E92" s="15">
        <f>400*50%</f>
        <v>200</v>
      </c>
      <c r="F92" s="34">
        <f t="shared" si="6"/>
        <v>2400</v>
      </c>
      <c r="G92" s="35">
        <f>F92*C4</f>
        <v>2400</v>
      </c>
      <c r="H92" s="239"/>
      <c r="I92" s="239"/>
      <c r="J92" s="239"/>
      <c r="K92" s="239"/>
      <c r="L92" s="239"/>
      <c r="M92" s="239"/>
      <c r="N92" s="239"/>
      <c r="O92" s="239"/>
      <c r="P92" s="239"/>
      <c r="Q92" s="250"/>
      <c r="R92" s="261"/>
      <c r="S92" s="222">
        <f t="shared" si="1"/>
        <v>-2400</v>
      </c>
      <c r="T92" s="228">
        <f t="shared" si="2"/>
        <v>-1</v>
      </c>
      <c r="U92" s="222">
        <f t="shared" si="3"/>
        <v>0</v>
      </c>
      <c r="V92" s="222">
        <f t="shared" si="4"/>
        <v>-2400</v>
      </c>
      <c r="W92" s="228">
        <f t="shared" si="5"/>
        <v>-1</v>
      </c>
      <c r="X92" s="228"/>
      <c r="Y92" s="35"/>
    </row>
    <row r="93" spans="1:25" ht="15" customHeight="1" x14ac:dyDescent="0.25">
      <c r="A93" s="148" t="s">
        <v>95</v>
      </c>
      <c r="B93" s="46" t="s">
        <v>439</v>
      </c>
      <c r="C93" s="18" t="s">
        <v>432</v>
      </c>
      <c r="D93" s="22">
        <v>12</v>
      </c>
      <c r="E93" s="15">
        <f>550*50%</f>
        <v>275</v>
      </c>
      <c r="F93" s="34">
        <f t="shared" si="6"/>
        <v>3300</v>
      </c>
      <c r="G93" s="35">
        <f>F93*C4</f>
        <v>3300</v>
      </c>
      <c r="H93" s="239"/>
      <c r="I93" s="239"/>
      <c r="J93" s="239"/>
      <c r="K93" s="239"/>
      <c r="L93" s="239"/>
      <c r="M93" s="239"/>
      <c r="N93" s="239"/>
      <c r="O93" s="239"/>
      <c r="P93" s="239"/>
      <c r="Q93" s="250"/>
      <c r="R93" s="261"/>
      <c r="S93" s="222">
        <f t="shared" si="1"/>
        <v>-3300</v>
      </c>
      <c r="T93" s="228">
        <f t="shared" si="2"/>
        <v>-1</v>
      </c>
      <c r="U93" s="222">
        <f t="shared" si="3"/>
        <v>0</v>
      </c>
      <c r="V93" s="222">
        <f t="shared" si="4"/>
        <v>-3300</v>
      </c>
      <c r="W93" s="228">
        <f t="shared" si="5"/>
        <v>-1</v>
      </c>
      <c r="X93" s="228"/>
      <c r="Y93" s="35"/>
    </row>
    <row r="94" spans="1:25" ht="15" customHeight="1" x14ac:dyDescent="0.25">
      <c r="A94" s="148" t="s">
        <v>96</v>
      </c>
      <c r="B94" s="46" t="s">
        <v>440</v>
      </c>
      <c r="C94" s="18" t="s">
        <v>432</v>
      </c>
      <c r="D94" s="22">
        <v>12</v>
      </c>
      <c r="E94" s="15">
        <f>725*50%</f>
        <v>362.5</v>
      </c>
      <c r="F94" s="34">
        <f t="shared" si="6"/>
        <v>4350</v>
      </c>
      <c r="G94" s="35">
        <f t="shared" ref="G94:G99" si="7">F94*$C$4</f>
        <v>4350</v>
      </c>
      <c r="H94" s="239"/>
      <c r="I94" s="239"/>
      <c r="J94" s="239"/>
      <c r="K94" s="239"/>
      <c r="L94" s="239"/>
      <c r="M94" s="239"/>
      <c r="N94" s="239"/>
      <c r="O94" s="239"/>
      <c r="P94" s="239"/>
      <c r="Q94" s="250"/>
      <c r="R94" s="261"/>
      <c r="S94" s="222">
        <f t="shared" si="1"/>
        <v>-4350</v>
      </c>
      <c r="T94" s="228">
        <f t="shared" si="2"/>
        <v>-1</v>
      </c>
      <c r="U94" s="222">
        <f t="shared" si="3"/>
        <v>0</v>
      </c>
      <c r="V94" s="222">
        <f t="shared" si="4"/>
        <v>-4350</v>
      </c>
      <c r="W94" s="228">
        <f t="shared" si="5"/>
        <v>-1</v>
      </c>
      <c r="X94" s="228"/>
      <c r="Y94" s="35"/>
    </row>
    <row r="95" spans="1:25" ht="15" customHeight="1" x14ac:dyDescent="0.25">
      <c r="A95" s="148" t="s">
        <v>97</v>
      </c>
      <c r="B95" s="46" t="s">
        <v>441</v>
      </c>
      <c r="C95" s="18" t="s">
        <v>432</v>
      </c>
      <c r="D95" s="22">
        <v>12</v>
      </c>
      <c r="E95" s="15">
        <f>570*50%</f>
        <v>285</v>
      </c>
      <c r="F95" s="34">
        <f t="shared" si="6"/>
        <v>3420</v>
      </c>
      <c r="G95" s="35">
        <f t="shared" si="7"/>
        <v>3420</v>
      </c>
      <c r="H95" s="239"/>
      <c r="I95" s="239"/>
      <c r="J95" s="239"/>
      <c r="K95" s="239"/>
      <c r="L95" s="239"/>
      <c r="M95" s="239"/>
      <c r="N95" s="239"/>
      <c r="O95" s="239"/>
      <c r="P95" s="239"/>
      <c r="Q95" s="250"/>
      <c r="R95" s="261"/>
      <c r="S95" s="222"/>
      <c r="T95" s="228"/>
      <c r="U95" s="222"/>
      <c r="V95" s="222"/>
      <c r="W95" s="228"/>
      <c r="X95" s="228"/>
      <c r="Y95" s="35"/>
    </row>
    <row r="96" spans="1:25" ht="15" customHeight="1" x14ac:dyDescent="0.25">
      <c r="A96" s="148" t="s">
        <v>98</v>
      </c>
      <c r="B96" s="46" t="s">
        <v>442</v>
      </c>
      <c r="C96" s="18" t="s">
        <v>432</v>
      </c>
      <c r="D96" s="22">
        <f>12*2</f>
        <v>24</v>
      </c>
      <c r="E96" s="15">
        <f>180</f>
        <v>180</v>
      </c>
      <c r="F96" s="34">
        <f t="shared" si="6"/>
        <v>4320</v>
      </c>
      <c r="G96" s="35">
        <f t="shared" si="7"/>
        <v>4320</v>
      </c>
      <c r="H96" s="239"/>
      <c r="I96" s="239"/>
      <c r="J96" s="239"/>
      <c r="K96" s="239"/>
      <c r="L96" s="239"/>
      <c r="M96" s="239"/>
      <c r="N96" s="239"/>
      <c r="O96" s="239"/>
      <c r="P96" s="239"/>
      <c r="Q96" s="250"/>
      <c r="R96" s="261"/>
      <c r="S96" s="222"/>
      <c r="T96" s="228"/>
      <c r="U96" s="222"/>
      <c r="V96" s="222"/>
      <c r="W96" s="228"/>
      <c r="X96" s="228"/>
      <c r="Y96" s="35"/>
    </row>
    <row r="97" spans="1:25" ht="15" customHeight="1" x14ac:dyDescent="0.25">
      <c r="A97" s="148" t="s">
        <v>443</v>
      </c>
      <c r="B97" s="46" t="s">
        <v>444</v>
      </c>
      <c r="C97" s="18" t="s">
        <v>432</v>
      </c>
      <c r="D97" s="22">
        <v>12</v>
      </c>
      <c r="E97" s="15">
        <f>725*50%</f>
        <v>362.5</v>
      </c>
      <c r="F97" s="34">
        <f t="shared" si="6"/>
        <v>4350</v>
      </c>
      <c r="G97" s="35">
        <f t="shared" si="7"/>
        <v>4350</v>
      </c>
      <c r="H97" s="239"/>
      <c r="I97" s="239"/>
      <c r="J97" s="239"/>
      <c r="K97" s="239"/>
      <c r="L97" s="239"/>
      <c r="M97" s="239"/>
      <c r="N97" s="239"/>
      <c r="O97" s="239"/>
      <c r="P97" s="239"/>
      <c r="Q97" s="250"/>
      <c r="R97" s="261"/>
      <c r="S97" s="222"/>
      <c r="T97" s="228"/>
      <c r="U97" s="222"/>
      <c r="V97" s="222"/>
      <c r="W97" s="228"/>
      <c r="X97" s="228"/>
      <c r="Y97" s="35"/>
    </row>
    <row r="98" spans="1:25" ht="15" customHeight="1" x14ac:dyDescent="0.25">
      <c r="A98" s="148" t="s">
        <v>445</v>
      </c>
      <c r="B98" s="46" t="s">
        <v>446</v>
      </c>
      <c r="C98" s="18" t="s">
        <v>432</v>
      </c>
      <c r="D98" s="22">
        <v>12</v>
      </c>
      <c r="E98" s="15">
        <f>1200*50%</f>
        <v>600</v>
      </c>
      <c r="F98" s="34">
        <f t="shared" si="6"/>
        <v>7200</v>
      </c>
      <c r="G98" s="35">
        <f t="shared" si="7"/>
        <v>7200</v>
      </c>
      <c r="H98" s="239"/>
      <c r="I98" s="239"/>
      <c r="J98" s="239"/>
      <c r="K98" s="239"/>
      <c r="L98" s="239"/>
      <c r="M98" s="239"/>
      <c r="N98" s="239"/>
      <c r="O98" s="239"/>
      <c r="P98" s="239"/>
      <c r="Q98" s="250"/>
      <c r="R98" s="261"/>
      <c r="S98" s="222">
        <f t="shared" si="1"/>
        <v>-7200</v>
      </c>
      <c r="T98" s="228">
        <f t="shared" si="2"/>
        <v>-1</v>
      </c>
      <c r="U98" s="222">
        <f t="shared" si="3"/>
        <v>0</v>
      </c>
      <c r="V98" s="222">
        <f t="shared" si="4"/>
        <v>-7200</v>
      </c>
      <c r="W98" s="228">
        <f t="shared" si="5"/>
        <v>-1</v>
      </c>
      <c r="X98" s="228"/>
      <c r="Y98" s="35"/>
    </row>
    <row r="99" spans="1:25" ht="15" customHeight="1" x14ac:dyDescent="0.25">
      <c r="A99" s="148" t="s">
        <v>447</v>
      </c>
      <c r="B99" s="46" t="s">
        <v>448</v>
      </c>
      <c r="C99" s="18" t="s">
        <v>432</v>
      </c>
      <c r="D99" s="22">
        <v>12</v>
      </c>
      <c r="E99" s="15">
        <f>700*50%</f>
        <v>350</v>
      </c>
      <c r="F99" s="34">
        <f t="shared" si="6"/>
        <v>4200</v>
      </c>
      <c r="G99" s="35">
        <f t="shared" si="7"/>
        <v>4200</v>
      </c>
      <c r="H99" s="239"/>
      <c r="I99" s="239"/>
      <c r="J99" s="239"/>
      <c r="K99" s="239"/>
      <c r="L99" s="239"/>
      <c r="M99" s="239"/>
      <c r="N99" s="239"/>
      <c r="O99" s="239"/>
      <c r="P99" s="239"/>
      <c r="Q99" s="250"/>
      <c r="R99" s="261"/>
      <c r="S99" s="222">
        <f t="shared" si="1"/>
        <v>-4200</v>
      </c>
      <c r="T99" s="228">
        <f t="shared" si="2"/>
        <v>-1</v>
      </c>
      <c r="U99" s="222">
        <f t="shared" si="3"/>
        <v>0</v>
      </c>
      <c r="V99" s="222">
        <f t="shared" si="4"/>
        <v>-4200</v>
      </c>
      <c r="W99" s="228">
        <f t="shared" si="5"/>
        <v>-1</v>
      </c>
      <c r="X99" s="228"/>
      <c r="Y99" s="35"/>
    </row>
    <row r="100" spans="1:25" ht="15" customHeight="1" thickBot="1" x14ac:dyDescent="0.3">
      <c r="A100" s="103"/>
      <c r="B100" s="150" t="s">
        <v>85</v>
      </c>
      <c r="C100" s="122"/>
      <c r="D100" s="126"/>
      <c r="E100" s="127"/>
      <c r="F100" s="36">
        <f>SUM(F81:F99)</f>
        <v>37890</v>
      </c>
      <c r="G100" s="36">
        <f>SUM(G81:G99)</f>
        <v>37890</v>
      </c>
      <c r="H100" s="241"/>
      <c r="I100" s="241"/>
      <c r="J100" s="241"/>
      <c r="K100" s="241"/>
      <c r="L100" s="241"/>
      <c r="M100" s="241"/>
      <c r="N100" s="241"/>
      <c r="O100" s="241"/>
      <c r="P100" s="241"/>
      <c r="Q100" s="252"/>
      <c r="R100" s="262"/>
      <c r="S100" s="234">
        <f t="shared" si="1"/>
        <v>-37890</v>
      </c>
      <c r="T100" s="235">
        <f t="shared" si="2"/>
        <v>-1</v>
      </c>
      <c r="U100" s="234">
        <f t="shared" si="3"/>
        <v>0</v>
      </c>
      <c r="V100" s="234">
        <f t="shared" si="4"/>
        <v>-37890</v>
      </c>
      <c r="W100" s="235">
        <f t="shared" si="5"/>
        <v>-1</v>
      </c>
      <c r="X100" s="235"/>
      <c r="Y100" s="35"/>
    </row>
    <row r="101" spans="1:25" ht="15" customHeight="1" thickTop="1" x14ac:dyDescent="0.25">
      <c r="A101" s="91"/>
      <c r="B101" s="74"/>
      <c r="C101" s="85"/>
      <c r="D101" s="86"/>
      <c r="E101" s="90"/>
      <c r="F101" s="90"/>
      <c r="G101" s="91"/>
      <c r="H101" s="238"/>
      <c r="I101" s="238"/>
      <c r="J101" s="238"/>
      <c r="K101" s="238"/>
      <c r="L101" s="238"/>
      <c r="M101" s="238"/>
      <c r="N101" s="238"/>
      <c r="O101" s="238"/>
      <c r="P101" s="238"/>
      <c r="Q101" s="251"/>
      <c r="R101" s="257"/>
      <c r="S101" s="222"/>
      <c r="T101" s="228"/>
      <c r="U101" s="222"/>
      <c r="V101" s="222"/>
      <c r="W101" s="228"/>
      <c r="X101" s="228"/>
      <c r="Y101" s="35"/>
    </row>
    <row r="102" spans="1:25" ht="15" customHeight="1" x14ac:dyDescent="0.25">
      <c r="A102" s="129">
        <v>2</v>
      </c>
      <c r="B102" s="130" t="s">
        <v>99</v>
      </c>
      <c r="C102" s="134"/>
      <c r="D102" s="133"/>
      <c r="E102" s="135"/>
      <c r="F102" s="135"/>
      <c r="G102" s="151"/>
      <c r="H102" s="238"/>
      <c r="I102" s="238"/>
      <c r="J102" s="238"/>
      <c r="K102" s="238"/>
      <c r="L102" s="238"/>
      <c r="M102" s="238"/>
      <c r="N102" s="238"/>
      <c r="O102" s="238"/>
      <c r="P102" s="238"/>
      <c r="Q102" s="251"/>
      <c r="R102" s="259"/>
      <c r="S102" s="227"/>
      <c r="T102" s="229"/>
      <c r="U102" s="227"/>
      <c r="V102" s="227"/>
      <c r="W102" s="229"/>
      <c r="X102" s="229"/>
      <c r="Y102" s="35"/>
    </row>
    <row r="103" spans="1:25" ht="15" customHeight="1" x14ac:dyDescent="0.25">
      <c r="A103" s="217" t="s">
        <v>100</v>
      </c>
      <c r="B103" s="218" t="s">
        <v>70</v>
      </c>
      <c r="C103" s="214"/>
      <c r="D103" s="215"/>
      <c r="E103" s="216"/>
      <c r="F103" s="211">
        <f>SUM(F104:F108)</f>
        <v>0</v>
      </c>
      <c r="G103" s="212">
        <f>SUM(G104:G108)</f>
        <v>0</v>
      </c>
      <c r="H103" s="239"/>
      <c r="I103" s="239"/>
      <c r="J103" s="239"/>
      <c r="K103" s="239"/>
      <c r="L103" s="239"/>
      <c r="M103" s="239"/>
      <c r="N103" s="239"/>
      <c r="O103" s="239"/>
      <c r="P103" s="239"/>
      <c r="Q103" s="250"/>
      <c r="R103" s="261"/>
      <c r="S103" s="236">
        <f t="shared" si="1"/>
        <v>0</v>
      </c>
      <c r="T103" s="237">
        <f t="shared" si="2"/>
        <v>0</v>
      </c>
      <c r="U103" s="236">
        <f t="shared" si="3"/>
        <v>0</v>
      </c>
      <c r="V103" s="236">
        <f t="shared" si="4"/>
        <v>0</v>
      </c>
      <c r="W103" s="237">
        <f t="shared" si="5"/>
        <v>0</v>
      </c>
      <c r="X103" s="237"/>
      <c r="Y103" s="35"/>
    </row>
    <row r="104" spans="1:25" ht="15" hidden="1" customHeight="1" x14ac:dyDescent="0.25">
      <c r="A104" s="152" t="s">
        <v>200</v>
      </c>
      <c r="B104" s="110" t="s">
        <v>252</v>
      </c>
      <c r="C104" s="25"/>
      <c r="D104" s="405"/>
      <c r="E104" s="406"/>
      <c r="F104" s="34">
        <f>D104*E104</f>
        <v>0</v>
      </c>
      <c r="G104" s="35">
        <f>F104*C4</f>
        <v>0</v>
      </c>
      <c r="H104" s="239"/>
      <c r="I104" s="239"/>
      <c r="J104" s="239"/>
      <c r="K104" s="239"/>
      <c r="L104" s="239"/>
      <c r="M104" s="239"/>
      <c r="N104" s="239"/>
      <c r="O104" s="239"/>
      <c r="P104" s="239"/>
      <c r="Q104" s="250"/>
      <c r="R104" s="261"/>
      <c r="S104" s="222">
        <f t="shared" si="1"/>
        <v>0</v>
      </c>
      <c r="T104" s="228">
        <f t="shared" si="2"/>
        <v>0</v>
      </c>
      <c r="U104" s="222">
        <f t="shared" si="3"/>
        <v>0</v>
      </c>
      <c r="V104" s="222">
        <f t="shared" si="4"/>
        <v>0</v>
      </c>
      <c r="W104" s="228">
        <f t="shared" si="5"/>
        <v>0</v>
      </c>
      <c r="X104" s="228"/>
      <c r="Y104" s="35"/>
    </row>
    <row r="105" spans="1:25" ht="15" hidden="1" customHeight="1" x14ac:dyDescent="0.25">
      <c r="A105" s="152" t="s">
        <v>201</v>
      </c>
      <c r="B105" s="110" t="s">
        <v>253</v>
      </c>
      <c r="C105" s="25"/>
      <c r="D105" s="405"/>
      <c r="E105" s="406"/>
      <c r="F105" s="34">
        <f>D105*E105</f>
        <v>0</v>
      </c>
      <c r="G105" s="35">
        <f>F105*C4</f>
        <v>0</v>
      </c>
      <c r="H105" s="239"/>
      <c r="I105" s="239"/>
      <c r="J105" s="239"/>
      <c r="K105" s="239"/>
      <c r="L105" s="239"/>
      <c r="M105" s="239"/>
      <c r="N105" s="239"/>
      <c r="O105" s="239"/>
      <c r="P105" s="239"/>
      <c r="Q105" s="250"/>
      <c r="R105" s="261"/>
      <c r="S105" s="222">
        <f t="shared" si="1"/>
        <v>0</v>
      </c>
      <c r="T105" s="228">
        <f t="shared" si="2"/>
        <v>0</v>
      </c>
      <c r="U105" s="222">
        <f t="shared" si="3"/>
        <v>0</v>
      </c>
      <c r="V105" s="222">
        <f t="shared" si="4"/>
        <v>0</v>
      </c>
      <c r="W105" s="228">
        <f t="shared" si="5"/>
        <v>0</v>
      </c>
      <c r="X105" s="228"/>
      <c r="Y105" s="35"/>
    </row>
    <row r="106" spans="1:25" ht="15" hidden="1" customHeight="1" x14ac:dyDescent="0.25">
      <c r="A106" s="152" t="s">
        <v>202</v>
      </c>
      <c r="B106" s="110" t="s">
        <v>254</v>
      </c>
      <c r="C106" s="25"/>
      <c r="D106" s="405"/>
      <c r="E106" s="406"/>
      <c r="F106" s="34">
        <f>D106*E106</f>
        <v>0</v>
      </c>
      <c r="G106" s="35">
        <f>F106*C4</f>
        <v>0</v>
      </c>
      <c r="H106" s="239"/>
      <c r="I106" s="239"/>
      <c r="J106" s="239"/>
      <c r="K106" s="239"/>
      <c r="L106" s="239"/>
      <c r="M106" s="239"/>
      <c r="N106" s="239"/>
      <c r="O106" s="239"/>
      <c r="P106" s="239"/>
      <c r="Q106" s="250"/>
      <c r="R106" s="261"/>
      <c r="S106" s="222">
        <f t="shared" si="1"/>
        <v>0</v>
      </c>
      <c r="T106" s="228">
        <f t="shared" si="2"/>
        <v>0</v>
      </c>
      <c r="U106" s="222">
        <f t="shared" si="3"/>
        <v>0</v>
      </c>
      <c r="V106" s="222">
        <f t="shared" si="4"/>
        <v>0</v>
      </c>
      <c r="W106" s="228">
        <f t="shared" si="5"/>
        <v>0</v>
      </c>
      <c r="X106" s="228"/>
      <c r="Y106" s="35"/>
    </row>
    <row r="107" spans="1:25" ht="15" hidden="1" customHeight="1" x14ac:dyDescent="0.25">
      <c r="A107" s="152" t="s">
        <v>203</v>
      </c>
      <c r="B107" s="110" t="s">
        <v>255</v>
      </c>
      <c r="C107" s="25"/>
      <c r="D107" s="405"/>
      <c r="E107" s="406"/>
      <c r="F107" s="34">
        <f>D107*E107</f>
        <v>0</v>
      </c>
      <c r="G107" s="35">
        <f>F107*C4</f>
        <v>0</v>
      </c>
      <c r="H107" s="239"/>
      <c r="I107" s="239"/>
      <c r="J107" s="239"/>
      <c r="K107" s="239"/>
      <c r="L107" s="239"/>
      <c r="M107" s="239"/>
      <c r="N107" s="239"/>
      <c r="O107" s="239"/>
      <c r="P107" s="239"/>
      <c r="Q107" s="250"/>
      <c r="R107" s="261"/>
      <c r="S107" s="222">
        <f t="shared" si="1"/>
        <v>0</v>
      </c>
      <c r="T107" s="228">
        <f t="shared" si="2"/>
        <v>0</v>
      </c>
      <c r="U107" s="222">
        <f t="shared" si="3"/>
        <v>0</v>
      </c>
      <c r="V107" s="222">
        <f t="shared" si="4"/>
        <v>0</v>
      </c>
      <c r="W107" s="228">
        <f t="shared" si="5"/>
        <v>0</v>
      </c>
      <c r="X107" s="228"/>
      <c r="Y107" s="35"/>
    </row>
    <row r="108" spans="1:25" ht="15" hidden="1" customHeight="1" x14ac:dyDescent="0.25">
      <c r="A108" s="152" t="s">
        <v>204</v>
      </c>
      <c r="B108" s="110" t="s">
        <v>256</v>
      </c>
      <c r="C108" s="25"/>
      <c r="D108" s="405"/>
      <c r="E108" s="406"/>
      <c r="F108" s="34">
        <f>D108*E108</f>
        <v>0</v>
      </c>
      <c r="G108" s="35">
        <f>F108*C4</f>
        <v>0</v>
      </c>
      <c r="H108" s="239"/>
      <c r="I108" s="239"/>
      <c r="J108" s="239"/>
      <c r="K108" s="239"/>
      <c r="L108" s="239"/>
      <c r="M108" s="239"/>
      <c r="N108" s="239"/>
      <c r="O108" s="239"/>
      <c r="P108" s="239"/>
      <c r="Q108" s="250"/>
      <c r="R108" s="261"/>
      <c r="S108" s="222">
        <f t="shared" si="1"/>
        <v>0</v>
      </c>
      <c r="T108" s="228">
        <f t="shared" si="2"/>
        <v>0</v>
      </c>
      <c r="U108" s="222">
        <f t="shared" si="3"/>
        <v>0</v>
      </c>
      <c r="V108" s="222">
        <f t="shared" si="4"/>
        <v>0</v>
      </c>
      <c r="W108" s="228">
        <f t="shared" si="5"/>
        <v>0</v>
      </c>
      <c r="X108" s="228"/>
      <c r="Y108" s="35"/>
    </row>
    <row r="109" spans="1:25" ht="15" customHeight="1" x14ac:dyDescent="0.25">
      <c r="A109" s="217" t="s">
        <v>101</v>
      </c>
      <c r="B109" s="218" t="s">
        <v>59</v>
      </c>
      <c r="C109" s="214"/>
      <c r="D109" s="215"/>
      <c r="E109" s="216"/>
      <c r="F109" s="211">
        <f>SUM(F110:F114)</f>
        <v>0</v>
      </c>
      <c r="G109" s="212">
        <f>SUM(G110:G114)</f>
        <v>0</v>
      </c>
      <c r="H109" s="239"/>
      <c r="I109" s="239"/>
      <c r="J109" s="239"/>
      <c r="K109" s="239"/>
      <c r="L109" s="239"/>
      <c r="M109" s="239"/>
      <c r="N109" s="239"/>
      <c r="O109" s="239"/>
      <c r="P109" s="239"/>
      <c r="Q109" s="250"/>
      <c r="R109" s="261"/>
      <c r="S109" s="236">
        <f t="shared" si="1"/>
        <v>0</v>
      </c>
      <c r="T109" s="237">
        <f t="shared" si="2"/>
        <v>0</v>
      </c>
      <c r="U109" s="236">
        <f t="shared" si="3"/>
        <v>0</v>
      </c>
      <c r="V109" s="236">
        <f t="shared" si="4"/>
        <v>0</v>
      </c>
      <c r="W109" s="237">
        <f t="shared" si="5"/>
        <v>0</v>
      </c>
      <c r="X109" s="237"/>
      <c r="Y109" s="35"/>
    </row>
    <row r="110" spans="1:25" ht="15" hidden="1" customHeight="1" x14ac:dyDescent="0.25">
      <c r="A110" s="152" t="s">
        <v>205</v>
      </c>
      <c r="B110" s="110" t="s">
        <v>257</v>
      </c>
      <c r="C110" s="25"/>
      <c r="D110" s="405"/>
      <c r="E110" s="406"/>
      <c r="F110" s="34">
        <f>D110*E110</f>
        <v>0</v>
      </c>
      <c r="G110" s="35">
        <f>F110*C4</f>
        <v>0</v>
      </c>
      <c r="H110" s="239"/>
      <c r="I110" s="239"/>
      <c r="J110" s="239"/>
      <c r="K110" s="239"/>
      <c r="L110" s="239"/>
      <c r="M110" s="239"/>
      <c r="N110" s="239"/>
      <c r="O110" s="239"/>
      <c r="P110" s="239"/>
      <c r="Q110" s="250"/>
      <c r="R110" s="261"/>
      <c r="S110" s="222">
        <f t="shared" si="1"/>
        <v>0</v>
      </c>
      <c r="T110" s="228">
        <f t="shared" si="2"/>
        <v>0</v>
      </c>
      <c r="U110" s="222">
        <f t="shared" si="3"/>
        <v>0</v>
      </c>
      <c r="V110" s="222">
        <f t="shared" si="4"/>
        <v>0</v>
      </c>
      <c r="W110" s="228">
        <f t="shared" si="5"/>
        <v>0</v>
      </c>
      <c r="X110" s="228"/>
      <c r="Y110" s="35"/>
    </row>
    <row r="111" spans="1:25" ht="15" hidden="1" customHeight="1" x14ac:dyDescent="0.25">
      <c r="A111" s="152" t="s">
        <v>206</v>
      </c>
      <c r="B111" s="110" t="s">
        <v>261</v>
      </c>
      <c r="C111" s="25"/>
      <c r="D111" s="405"/>
      <c r="E111" s="406"/>
      <c r="F111" s="34">
        <f>D111*E111</f>
        <v>0</v>
      </c>
      <c r="G111" s="35">
        <f>F111*C4</f>
        <v>0</v>
      </c>
      <c r="H111" s="239"/>
      <c r="I111" s="239"/>
      <c r="J111" s="239"/>
      <c r="K111" s="239"/>
      <c r="L111" s="239"/>
      <c r="M111" s="239"/>
      <c r="N111" s="239"/>
      <c r="O111" s="239"/>
      <c r="P111" s="239"/>
      <c r="Q111" s="250"/>
      <c r="R111" s="261"/>
      <c r="S111" s="222">
        <f t="shared" si="1"/>
        <v>0</v>
      </c>
      <c r="T111" s="228">
        <f t="shared" si="2"/>
        <v>0</v>
      </c>
      <c r="U111" s="222">
        <f t="shared" si="3"/>
        <v>0</v>
      </c>
      <c r="V111" s="222">
        <f t="shared" si="4"/>
        <v>0</v>
      </c>
      <c r="W111" s="228">
        <f t="shared" si="5"/>
        <v>0</v>
      </c>
      <c r="X111" s="228"/>
      <c r="Y111" s="35"/>
    </row>
    <row r="112" spans="1:25" ht="15" hidden="1" customHeight="1" x14ac:dyDescent="0.25">
      <c r="A112" s="152" t="s">
        <v>207</v>
      </c>
      <c r="B112" s="110" t="s">
        <v>260</v>
      </c>
      <c r="C112" s="25"/>
      <c r="D112" s="405"/>
      <c r="E112" s="406"/>
      <c r="F112" s="34">
        <f>D112*E112</f>
        <v>0</v>
      </c>
      <c r="G112" s="35">
        <f>F112*C4</f>
        <v>0</v>
      </c>
      <c r="H112" s="239"/>
      <c r="I112" s="239"/>
      <c r="J112" s="239"/>
      <c r="K112" s="239"/>
      <c r="L112" s="239"/>
      <c r="M112" s="239"/>
      <c r="N112" s="239"/>
      <c r="O112" s="239"/>
      <c r="P112" s="239"/>
      <c r="Q112" s="250"/>
      <c r="R112" s="261"/>
      <c r="S112" s="222">
        <f t="shared" si="1"/>
        <v>0</v>
      </c>
      <c r="T112" s="228">
        <f t="shared" si="2"/>
        <v>0</v>
      </c>
      <c r="U112" s="222">
        <f t="shared" si="3"/>
        <v>0</v>
      </c>
      <c r="V112" s="222">
        <f t="shared" si="4"/>
        <v>0</v>
      </c>
      <c r="W112" s="228">
        <f t="shared" si="5"/>
        <v>0</v>
      </c>
      <c r="X112" s="228"/>
      <c r="Y112" s="35"/>
    </row>
    <row r="113" spans="1:25" ht="15" hidden="1" customHeight="1" x14ac:dyDescent="0.25">
      <c r="A113" s="152" t="s">
        <v>208</v>
      </c>
      <c r="B113" s="110" t="s">
        <v>259</v>
      </c>
      <c r="C113" s="25"/>
      <c r="D113" s="405"/>
      <c r="E113" s="406"/>
      <c r="F113" s="34">
        <f>D113*E113</f>
        <v>0</v>
      </c>
      <c r="G113" s="35">
        <f>F113*C4</f>
        <v>0</v>
      </c>
      <c r="H113" s="239"/>
      <c r="I113" s="239"/>
      <c r="J113" s="239"/>
      <c r="K113" s="239"/>
      <c r="L113" s="239"/>
      <c r="M113" s="239"/>
      <c r="N113" s="239"/>
      <c r="O113" s="239"/>
      <c r="P113" s="239"/>
      <c r="Q113" s="250"/>
      <c r="R113" s="261"/>
      <c r="S113" s="222">
        <f t="shared" si="1"/>
        <v>0</v>
      </c>
      <c r="T113" s="228">
        <f t="shared" si="2"/>
        <v>0</v>
      </c>
      <c r="U113" s="222">
        <f t="shared" si="3"/>
        <v>0</v>
      </c>
      <c r="V113" s="222">
        <f t="shared" si="4"/>
        <v>0</v>
      </c>
      <c r="W113" s="228">
        <f t="shared" si="5"/>
        <v>0</v>
      </c>
      <c r="X113" s="228"/>
      <c r="Y113" s="35"/>
    </row>
    <row r="114" spans="1:25" ht="15" hidden="1" customHeight="1" x14ac:dyDescent="0.25">
      <c r="A114" s="152" t="s">
        <v>209</v>
      </c>
      <c r="B114" s="110" t="s">
        <v>258</v>
      </c>
      <c r="C114" s="25"/>
      <c r="D114" s="405"/>
      <c r="E114" s="406"/>
      <c r="F114" s="34">
        <f>D114*E114</f>
        <v>0</v>
      </c>
      <c r="G114" s="35">
        <f>F114*C4</f>
        <v>0</v>
      </c>
      <c r="H114" s="239"/>
      <c r="I114" s="239"/>
      <c r="J114" s="239"/>
      <c r="K114" s="239"/>
      <c r="L114" s="239"/>
      <c r="M114" s="239"/>
      <c r="N114" s="239"/>
      <c r="O114" s="239"/>
      <c r="P114" s="239"/>
      <c r="Q114" s="250"/>
      <c r="R114" s="261"/>
      <c r="S114" s="222">
        <f t="shared" si="1"/>
        <v>0</v>
      </c>
      <c r="T114" s="228">
        <f t="shared" si="2"/>
        <v>0</v>
      </c>
      <c r="U114" s="222">
        <f t="shared" si="3"/>
        <v>0</v>
      </c>
      <c r="V114" s="222">
        <f t="shared" si="4"/>
        <v>0</v>
      </c>
      <c r="W114" s="228">
        <f t="shared" si="5"/>
        <v>0</v>
      </c>
      <c r="X114" s="228"/>
      <c r="Y114" s="35"/>
    </row>
    <row r="115" spans="1:25" ht="15" customHeight="1" x14ac:dyDescent="0.25">
      <c r="A115" s="217" t="s">
        <v>102</v>
      </c>
      <c r="B115" s="218" t="s">
        <v>71</v>
      </c>
      <c r="C115" s="214"/>
      <c r="D115" s="215"/>
      <c r="E115" s="216"/>
      <c r="F115" s="211">
        <f>SUM(F116:F120)</f>
        <v>193375</v>
      </c>
      <c r="G115" s="212">
        <f>SUM(G116:G120)</f>
        <v>193375</v>
      </c>
      <c r="H115" s="239"/>
      <c r="I115" s="239"/>
      <c r="J115" s="239"/>
      <c r="K115" s="239"/>
      <c r="L115" s="239"/>
      <c r="M115" s="239"/>
      <c r="N115" s="239"/>
      <c r="O115" s="239"/>
      <c r="P115" s="239"/>
      <c r="Q115" s="250"/>
      <c r="R115" s="261"/>
      <c r="S115" s="236">
        <f t="shared" si="1"/>
        <v>-193375</v>
      </c>
      <c r="T115" s="237">
        <f t="shared" si="2"/>
        <v>-1</v>
      </c>
      <c r="U115" s="236">
        <f t="shared" si="3"/>
        <v>0</v>
      </c>
      <c r="V115" s="236">
        <f t="shared" si="4"/>
        <v>-193375</v>
      </c>
      <c r="W115" s="237">
        <f t="shared" si="5"/>
        <v>-1</v>
      </c>
      <c r="X115" s="237"/>
      <c r="Y115" s="35"/>
    </row>
    <row r="116" spans="1:25" ht="15" customHeight="1" x14ac:dyDescent="0.25">
      <c r="A116" s="152" t="s">
        <v>210</v>
      </c>
      <c r="B116" s="110" t="s">
        <v>449</v>
      </c>
      <c r="C116" s="25" t="s">
        <v>450</v>
      </c>
      <c r="D116" s="405">
        <v>75</v>
      </c>
      <c r="E116" s="406">
        <f>75*3</f>
        <v>225</v>
      </c>
      <c r="F116" s="34">
        <f>D116*E116</f>
        <v>16875</v>
      </c>
      <c r="G116" s="35">
        <f>F116*C4</f>
        <v>16875</v>
      </c>
      <c r="H116" s="239"/>
      <c r="I116" s="239"/>
      <c r="J116" s="239"/>
      <c r="K116" s="239"/>
      <c r="L116" s="239"/>
      <c r="M116" s="239"/>
      <c r="N116" s="239"/>
      <c r="O116" s="239"/>
      <c r="P116" s="239"/>
      <c r="Q116" s="250"/>
      <c r="R116" s="261"/>
      <c r="S116" s="222">
        <f t="shared" si="1"/>
        <v>-16875</v>
      </c>
      <c r="T116" s="228">
        <f t="shared" si="2"/>
        <v>-1</v>
      </c>
      <c r="U116" s="222">
        <f t="shared" si="3"/>
        <v>0</v>
      </c>
      <c r="V116" s="222">
        <f t="shared" si="4"/>
        <v>-16875</v>
      </c>
      <c r="W116" s="228">
        <f t="shared" si="5"/>
        <v>-1</v>
      </c>
      <c r="X116" s="228"/>
      <c r="Y116" s="35"/>
    </row>
    <row r="117" spans="1:25" ht="15" customHeight="1" x14ac:dyDescent="0.25">
      <c r="A117" s="152" t="s">
        <v>211</v>
      </c>
      <c r="B117" s="110" t="s">
        <v>451</v>
      </c>
      <c r="C117" s="25" t="s">
        <v>452</v>
      </c>
      <c r="D117" s="405">
        <v>50</v>
      </c>
      <c r="E117" s="406">
        <v>780</v>
      </c>
      <c r="F117" s="34">
        <f>D117*E117</f>
        <v>39000</v>
      </c>
      <c r="G117" s="35">
        <f>F117*C4</f>
        <v>39000</v>
      </c>
      <c r="H117" s="239"/>
      <c r="I117" s="239"/>
      <c r="J117" s="239"/>
      <c r="K117" s="239"/>
      <c r="L117" s="239"/>
      <c r="M117" s="239"/>
      <c r="N117" s="239"/>
      <c r="O117" s="239"/>
      <c r="P117" s="239"/>
      <c r="Q117" s="250"/>
      <c r="R117" s="261"/>
      <c r="S117" s="222">
        <f t="shared" si="1"/>
        <v>-39000</v>
      </c>
      <c r="T117" s="228">
        <f t="shared" si="2"/>
        <v>-1</v>
      </c>
      <c r="U117" s="222">
        <f t="shared" si="3"/>
        <v>0</v>
      </c>
      <c r="V117" s="222">
        <f t="shared" si="4"/>
        <v>-39000</v>
      </c>
      <c r="W117" s="228">
        <f t="shared" si="5"/>
        <v>-1</v>
      </c>
      <c r="X117" s="228"/>
      <c r="Y117" s="35"/>
    </row>
    <row r="118" spans="1:25" ht="15" customHeight="1" x14ac:dyDescent="0.25">
      <c r="A118" s="152" t="s">
        <v>212</v>
      </c>
      <c r="B118" s="110" t="s">
        <v>453</v>
      </c>
      <c r="C118" s="25" t="s">
        <v>450</v>
      </c>
      <c r="D118" s="405">
        <v>75</v>
      </c>
      <c r="E118" s="406">
        <v>20</v>
      </c>
      <c r="F118" s="34">
        <f>D118*E118</f>
        <v>1500</v>
      </c>
      <c r="G118" s="35">
        <f>F118*C4</f>
        <v>1500</v>
      </c>
      <c r="H118" s="239"/>
      <c r="I118" s="239"/>
      <c r="J118" s="239"/>
      <c r="K118" s="239"/>
      <c r="L118" s="239"/>
      <c r="M118" s="239"/>
      <c r="N118" s="239"/>
      <c r="O118" s="239"/>
      <c r="P118" s="239"/>
      <c r="Q118" s="250"/>
      <c r="R118" s="261"/>
      <c r="S118" s="222">
        <f t="shared" si="1"/>
        <v>-1500</v>
      </c>
      <c r="T118" s="228">
        <f t="shared" si="2"/>
        <v>-1</v>
      </c>
      <c r="U118" s="222">
        <f t="shared" si="3"/>
        <v>0</v>
      </c>
      <c r="V118" s="222">
        <f t="shared" si="4"/>
        <v>-1500</v>
      </c>
      <c r="W118" s="228">
        <f t="shared" si="5"/>
        <v>-1</v>
      </c>
      <c r="X118" s="228"/>
      <c r="Y118" s="35"/>
    </row>
    <row r="119" spans="1:25" ht="15" customHeight="1" x14ac:dyDescent="0.25">
      <c r="A119" s="152" t="s">
        <v>213</v>
      </c>
      <c r="B119" s="110" t="s">
        <v>454</v>
      </c>
      <c r="C119" s="25" t="s">
        <v>455</v>
      </c>
      <c r="D119" s="405">
        <v>8</v>
      </c>
      <c r="E119" s="406">
        <v>15000</v>
      </c>
      <c r="F119" s="34">
        <f>D119*E119</f>
        <v>120000</v>
      </c>
      <c r="G119" s="35">
        <f>F119*C4</f>
        <v>120000</v>
      </c>
      <c r="H119" s="239"/>
      <c r="I119" s="239"/>
      <c r="J119" s="239"/>
      <c r="K119" s="239"/>
      <c r="L119" s="239"/>
      <c r="M119" s="239"/>
      <c r="N119" s="239"/>
      <c r="O119" s="239"/>
      <c r="P119" s="239"/>
      <c r="Q119" s="250"/>
      <c r="R119" s="261"/>
      <c r="S119" s="222">
        <f t="shared" si="1"/>
        <v>-120000</v>
      </c>
      <c r="T119" s="228">
        <f t="shared" si="2"/>
        <v>-1</v>
      </c>
      <c r="U119" s="222">
        <f t="shared" si="3"/>
        <v>0</v>
      </c>
      <c r="V119" s="222">
        <f t="shared" si="4"/>
        <v>-120000</v>
      </c>
      <c r="W119" s="228">
        <f t="shared" si="5"/>
        <v>-1</v>
      </c>
      <c r="X119" s="228"/>
      <c r="Y119" s="35"/>
    </row>
    <row r="120" spans="1:25" ht="15" customHeight="1" x14ac:dyDescent="0.25">
      <c r="A120" s="152" t="s">
        <v>214</v>
      </c>
      <c r="B120" s="110" t="s">
        <v>456</v>
      </c>
      <c r="C120" s="25" t="s">
        <v>457</v>
      </c>
      <c r="D120" s="405">
        <v>3200</v>
      </c>
      <c r="E120" s="406">
        <v>5</v>
      </c>
      <c r="F120" s="34">
        <f>D120*E120</f>
        <v>16000</v>
      </c>
      <c r="G120" s="35">
        <f>F120*C4</f>
        <v>16000</v>
      </c>
      <c r="H120" s="239"/>
      <c r="I120" s="239"/>
      <c r="J120" s="239"/>
      <c r="K120" s="239"/>
      <c r="L120" s="239"/>
      <c r="M120" s="239"/>
      <c r="N120" s="239"/>
      <c r="O120" s="239"/>
      <c r="P120" s="239"/>
      <c r="Q120" s="250"/>
      <c r="R120" s="261"/>
      <c r="S120" s="222">
        <f t="shared" si="1"/>
        <v>-16000</v>
      </c>
      <c r="T120" s="228">
        <f t="shared" si="2"/>
        <v>-1</v>
      </c>
      <c r="U120" s="222">
        <f t="shared" si="3"/>
        <v>0</v>
      </c>
      <c r="V120" s="222">
        <f t="shared" si="4"/>
        <v>-16000</v>
      </c>
      <c r="W120" s="228">
        <f t="shared" si="5"/>
        <v>-1</v>
      </c>
      <c r="X120" s="228"/>
      <c r="Y120" s="35"/>
    </row>
    <row r="121" spans="1:25" ht="15" customHeight="1" x14ac:dyDescent="0.25">
      <c r="A121" s="217" t="s">
        <v>103</v>
      </c>
      <c r="B121" s="218" t="s">
        <v>72</v>
      </c>
      <c r="C121" s="214"/>
      <c r="D121" s="215"/>
      <c r="E121" s="216"/>
      <c r="F121" s="211">
        <f>SUM(F122:F126)</f>
        <v>70000</v>
      </c>
      <c r="G121" s="212">
        <f>SUM(G122:G126)</f>
        <v>70000</v>
      </c>
      <c r="H121" s="239"/>
      <c r="I121" s="239"/>
      <c r="J121" s="239"/>
      <c r="K121" s="239"/>
      <c r="L121" s="239"/>
      <c r="M121" s="239"/>
      <c r="N121" s="239"/>
      <c r="O121" s="239"/>
      <c r="P121" s="239"/>
      <c r="Q121" s="250"/>
      <c r="R121" s="261"/>
      <c r="S121" s="236">
        <f t="shared" si="1"/>
        <v>-70000</v>
      </c>
      <c r="T121" s="237">
        <f t="shared" si="2"/>
        <v>-1</v>
      </c>
      <c r="U121" s="236">
        <f t="shared" si="3"/>
        <v>0</v>
      </c>
      <c r="V121" s="236">
        <f t="shared" si="4"/>
        <v>-70000</v>
      </c>
      <c r="W121" s="237">
        <f t="shared" si="5"/>
        <v>-1</v>
      </c>
      <c r="X121" s="237"/>
      <c r="Y121" s="35"/>
    </row>
    <row r="122" spans="1:25" ht="15" customHeight="1" x14ac:dyDescent="0.25">
      <c r="A122" s="152" t="s">
        <v>215</v>
      </c>
      <c r="B122" s="110" t="s">
        <v>458</v>
      </c>
      <c r="C122" s="25" t="s">
        <v>459</v>
      </c>
      <c r="D122" s="405">
        <v>100</v>
      </c>
      <c r="E122" s="406">
        <v>700</v>
      </c>
      <c r="F122" s="34">
        <f>D122*E122</f>
        <v>70000</v>
      </c>
      <c r="G122" s="35">
        <f>F122*C4</f>
        <v>70000</v>
      </c>
      <c r="H122" s="239"/>
      <c r="I122" s="239"/>
      <c r="J122" s="239"/>
      <c r="K122" s="239"/>
      <c r="L122" s="239"/>
      <c r="M122" s="239"/>
      <c r="N122" s="239"/>
      <c r="O122" s="239"/>
      <c r="P122" s="239"/>
      <c r="Q122" s="250"/>
      <c r="R122" s="261"/>
      <c r="S122" s="222">
        <f t="shared" si="1"/>
        <v>-70000</v>
      </c>
      <c r="T122" s="228">
        <f t="shared" si="2"/>
        <v>-1</v>
      </c>
      <c r="U122" s="222">
        <f t="shared" si="3"/>
        <v>0</v>
      </c>
      <c r="V122" s="222">
        <f t="shared" si="4"/>
        <v>-70000</v>
      </c>
      <c r="W122" s="228">
        <f t="shared" si="5"/>
        <v>-1</v>
      </c>
      <c r="X122" s="228"/>
      <c r="Y122" s="35"/>
    </row>
    <row r="123" spans="1:25" ht="15" hidden="1" customHeight="1" x14ac:dyDescent="0.25">
      <c r="A123" s="152" t="s">
        <v>216</v>
      </c>
      <c r="B123" s="110"/>
      <c r="C123" s="25"/>
      <c r="D123" s="405"/>
      <c r="E123" s="406"/>
      <c r="F123" s="34">
        <f>D123*E123</f>
        <v>0</v>
      </c>
      <c r="G123" s="35">
        <f>F123*C4</f>
        <v>0</v>
      </c>
      <c r="H123" s="239"/>
      <c r="I123" s="239"/>
      <c r="J123" s="239"/>
      <c r="K123" s="239"/>
      <c r="L123" s="239"/>
      <c r="M123" s="239"/>
      <c r="N123" s="239"/>
      <c r="O123" s="239"/>
      <c r="P123" s="239"/>
      <c r="Q123" s="250"/>
      <c r="R123" s="261"/>
      <c r="S123" s="222">
        <f t="shared" si="1"/>
        <v>0</v>
      </c>
      <c r="T123" s="228">
        <f t="shared" si="2"/>
        <v>0</v>
      </c>
      <c r="U123" s="222">
        <f t="shared" si="3"/>
        <v>0</v>
      </c>
      <c r="V123" s="222">
        <f t="shared" si="4"/>
        <v>0</v>
      </c>
      <c r="W123" s="228">
        <f t="shared" si="5"/>
        <v>0</v>
      </c>
      <c r="X123" s="228"/>
      <c r="Y123" s="35"/>
    </row>
    <row r="124" spans="1:25" ht="15" hidden="1" customHeight="1" x14ac:dyDescent="0.25">
      <c r="A124" s="152" t="s">
        <v>217</v>
      </c>
      <c r="B124" s="110" t="s">
        <v>269</v>
      </c>
      <c r="C124" s="25"/>
      <c r="D124" s="405"/>
      <c r="E124" s="406"/>
      <c r="F124" s="34">
        <f>D124*E124</f>
        <v>0</v>
      </c>
      <c r="G124" s="35">
        <f>F124*C4</f>
        <v>0</v>
      </c>
      <c r="H124" s="239"/>
      <c r="I124" s="239"/>
      <c r="J124" s="239"/>
      <c r="K124" s="239"/>
      <c r="L124" s="239"/>
      <c r="M124" s="239"/>
      <c r="N124" s="239"/>
      <c r="O124" s="239"/>
      <c r="P124" s="239"/>
      <c r="Q124" s="250"/>
      <c r="R124" s="261"/>
      <c r="S124" s="222">
        <f t="shared" si="1"/>
        <v>0</v>
      </c>
      <c r="T124" s="228">
        <f t="shared" si="2"/>
        <v>0</v>
      </c>
      <c r="U124" s="222">
        <f t="shared" si="3"/>
        <v>0</v>
      </c>
      <c r="V124" s="222">
        <f t="shared" si="4"/>
        <v>0</v>
      </c>
      <c r="W124" s="228">
        <f t="shared" si="5"/>
        <v>0</v>
      </c>
      <c r="X124" s="228"/>
      <c r="Y124" s="35"/>
    </row>
    <row r="125" spans="1:25" ht="15" hidden="1" customHeight="1" x14ac:dyDescent="0.25">
      <c r="A125" s="152" t="s">
        <v>218</v>
      </c>
      <c r="B125" s="110" t="s">
        <v>270</v>
      </c>
      <c r="C125" s="25"/>
      <c r="D125" s="405"/>
      <c r="E125" s="406"/>
      <c r="F125" s="34">
        <f>D125*E125</f>
        <v>0</v>
      </c>
      <c r="G125" s="35">
        <f>F125*C4</f>
        <v>0</v>
      </c>
      <c r="H125" s="239"/>
      <c r="I125" s="239"/>
      <c r="J125" s="239"/>
      <c r="K125" s="239"/>
      <c r="L125" s="239"/>
      <c r="M125" s="239"/>
      <c r="N125" s="239"/>
      <c r="O125" s="239"/>
      <c r="P125" s="239"/>
      <c r="Q125" s="250"/>
      <c r="R125" s="261"/>
      <c r="S125" s="222">
        <f t="shared" si="1"/>
        <v>0</v>
      </c>
      <c r="T125" s="228">
        <f t="shared" si="2"/>
        <v>0</v>
      </c>
      <c r="U125" s="222">
        <f t="shared" si="3"/>
        <v>0</v>
      </c>
      <c r="V125" s="222">
        <f t="shared" si="4"/>
        <v>0</v>
      </c>
      <c r="W125" s="228">
        <f t="shared" si="5"/>
        <v>0</v>
      </c>
      <c r="X125" s="228"/>
      <c r="Y125" s="35"/>
    </row>
    <row r="126" spans="1:25" ht="15" hidden="1" customHeight="1" x14ac:dyDescent="0.25">
      <c r="A126" s="152" t="s">
        <v>219</v>
      </c>
      <c r="B126" s="110" t="s">
        <v>271</v>
      </c>
      <c r="C126" s="25"/>
      <c r="D126" s="405"/>
      <c r="E126" s="406"/>
      <c r="F126" s="34">
        <f>D126*E126</f>
        <v>0</v>
      </c>
      <c r="G126" s="35">
        <f>F126*C4</f>
        <v>0</v>
      </c>
      <c r="H126" s="239"/>
      <c r="I126" s="239"/>
      <c r="J126" s="239"/>
      <c r="K126" s="239"/>
      <c r="L126" s="239"/>
      <c r="M126" s="239"/>
      <c r="N126" s="239"/>
      <c r="O126" s="239"/>
      <c r="P126" s="239"/>
      <c r="Q126" s="250"/>
      <c r="R126" s="261"/>
      <c r="S126" s="222">
        <f t="shared" si="1"/>
        <v>0</v>
      </c>
      <c r="T126" s="228">
        <f t="shared" si="2"/>
        <v>0</v>
      </c>
      <c r="U126" s="222">
        <f t="shared" si="3"/>
        <v>0</v>
      </c>
      <c r="V126" s="222">
        <f t="shared" si="4"/>
        <v>0</v>
      </c>
      <c r="W126" s="228">
        <f t="shared" si="5"/>
        <v>0</v>
      </c>
      <c r="X126" s="228"/>
      <c r="Y126" s="35"/>
    </row>
    <row r="127" spans="1:25" ht="15" customHeight="1" x14ac:dyDescent="0.25">
      <c r="A127" s="217" t="s">
        <v>104</v>
      </c>
      <c r="B127" s="218" t="s">
        <v>73</v>
      </c>
      <c r="C127" s="214"/>
      <c r="D127" s="215"/>
      <c r="E127" s="216"/>
      <c r="F127" s="211">
        <f>SUM(F128:F132)</f>
        <v>10000</v>
      </c>
      <c r="G127" s="212">
        <f>SUM(G128:G132)</f>
        <v>10000</v>
      </c>
      <c r="H127" s="239"/>
      <c r="I127" s="239"/>
      <c r="J127" s="239"/>
      <c r="K127" s="239"/>
      <c r="L127" s="239"/>
      <c r="M127" s="239"/>
      <c r="N127" s="239"/>
      <c r="O127" s="239"/>
      <c r="P127" s="239"/>
      <c r="Q127" s="250"/>
      <c r="R127" s="261"/>
      <c r="S127" s="236">
        <f t="shared" si="1"/>
        <v>-10000</v>
      </c>
      <c r="T127" s="237">
        <f t="shared" si="2"/>
        <v>-1</v>
      </c>
      <c r="U127" s="236">
        <f t="shared" si="3"/>
        <v>0</v>
      </c>
      <c r="V127" s="236">
        <f t="shared" si="4"/>
        <v>-10000</v>
      </c>
      <c r="W127" s="237">
        <f t="shared" si="5"/>
        <v>-1</v>
      </c>
      <c r="X127" s="237"/>
      <c r="Y127" s="35"/>
    </row>
    <row r="128" spans="1:25" ht="15" customHeight="1" x14ac:dyDescent="0.25">
      <c r="A128" s="152" t="s">
        <v>220</v>
      </c>
      <c r="B128" s="110" t="s">
        <v>460</v>
      </c>
      <c r="C128" s="25" t="s">
        <v>461</v>
      </c>
      <c r="D128" s="405">
        <v>100</v>
      </c>
      <c r="E128" s="406">
        <v>100</v>
      </c>
      <c r="F128" s="34">
        <f>D128*E128</f>
        <v>10000</v>
      </c>
      <c r="G128" s="35">
        <f>F128*C4</f>
        <v>10000</v>
      </c>
      <c r="H128" s="239"/>
      <c r="I128" s="239"/>
      <c r="J128" s="239"/>
      <c r="K128" s="239"/>
      <c r="L128" s="239"/>
      <c r="M128" s="239"/>
      <c r="N128" s="239"/>
      <c r="O128" s="239"/>
      <c r="P128" s="239"/>
      <c r="Q128" s="250"/>
      <c r="R128" s="261"/>
      <c r="S128" s="222">
        <f t="shared" si="1"/>
        <v>-10000</v>
      </c>
      <c r="T128" s="228">
        <f t="shared" si="2"/>
        <v>-1</v>
      </c>
      <c r="U128" s="222">
        <f t="shared" si="3"/>
        <v>0</v>
      </c>
      <c r="V128" s="222">
        <f t="shared" si="4"/>
        <v>-10000</v>
      </c>
      <c r="W128" s="228">
        <f t="shared" si="5"/>
        <v>-1</v>
      </c>
      <c r="X128" s="228"/>
      <c r="Y128" s="35"/>
    </row>
    <row r="129" spans="1:25" ht="15" hidden="1" customHeight="1" x14ac:dyDescent="0.25">
      <c r="A129" s="152" t="s">
        <v>221</v>
      </c>
      <c r="B129" s="110" t="s">
        <v>273</v>
      </c>
      <c r="C129" s="25"/>
      <c r="D129" s="405"/>
      <c r="E129" s="406"/>
      <c r="F129" s="34">
        <f>D129*E129</f>
        <v>0</v>
      </c>
      <c r="G129" s="35">
        <f>F129*C4</f>
        <v>0</v>
      </c>
      <c r="H129" s="239"/>
      <c r="I129" s="239"/>
      <c r="J129" s="239"/>
      <c r="K129" s="239"/>
      <c r="L129" s="239"/>
      <c r="M129" s="239"/>
      <c r="N129" s="239"/>
      <c r="O129" s="239"/>
      <c r="P129" s="239"/>
      <c r="Q129" s="250"/>
      <c r="R129" s="261"/>
      <c r="S129" s="222">
        <f t="shared" si="1"/>
        <v>0</v>
      </c>
      <c r="T129" s="228">
        <f t="shared" si="2"/>
        <v>0</v>
      </c>
      <c r="U129" s="222">
        <f t="shared" si="3"/>
        <v>0</v>
      </c>
      <c r="V129" s="222">
        <f t="shared" si="4"/>
        <v>0</v>
      </c>
      <c r="W129" s="228">
        <f t="shared" si="5"/>
        <v>0</v>
      </c>
      <c r="X129" s="228"/>
      <c r="Y129" s="35"/>
    </row>
    <row r="130" spans="1:25" ht="15" hidden="1" customHeight="1" x14ac:dyDescent="0.25">
      <c r="A130" s="152" t="s">
        <v>222</v>
      </c>
      <c r="B130" s="110" t="s">
        <v>274</v>
      </c>
      <c r="C130" s="25"/>
      <c r="D130" s="405"/>
      <c r="E130" s="406"/>
      <c r="F130" s="34">
        <f>D130*E130</f>
        <v>0</v>
      </c>
      <c r="G130" s="35">
        <f>F130*C4</f>
        <v>0</v>
      </c>
      <c r="H130" s="239"/>
      <c r="I130" s="239"/>
      <c r="J130" s="239"/>
      <c r="K130" s="239"/>
      <c r="L130" s="239"/>
      <c r="M130" s="239"/>
      <c r="N130" s="239"/>
      <c r="O130" s="239"/>
      <c r="P130" s="239"/>
      <c r="Q130" s="250"/>
      <c r="R130" s="261"/>
      <c r="S130" s="222">
        <f t="shared" si="1"/>
        <v>0</v>
      </c>
      <c r="T130" s="228">
        <f t="shared" si="2"/>
        <v>0</v>
      </c>
      <c r="U130" s="222">
        <f t="shared" si="3"/>
        <v>0</v>
      </c>
      <c r="V130" s="222">
        <f t="shared" si="4"/>
        <v>0</v>
      </c>
      <c r="W130" s="228">
        <f t="shared" si="5"/>
        <v>0</v>
      </c>
      <c r="X130" s="228"/>
      <c r="Y130" s="35"/>
    </row>
    <row r="131" spans="1:25" ht="15" hidden="1" customHeight="1" x14ac:dyDescent="0.25">
      <c r="A131" s="152" t="s">
        <v>223</v>
      </c>
      <c r="B131" s="110" t="s">
        <v>275</v>
      </c>
      <c r="C131" s="25"/>
      <c r="D131" s="405"/>
      <c r="E131" s="406"/>
      <c r="F131" s="34">
        <f>D131*E131</f>
        <v>0</v>
      </c>
      <c r="G131" s="35">
        <f>F131*C4</f>
        <v>0</v>
      </c>
      <c r="H131" s="239"/>
      <c r="I131" s="239"/>
      <c r="J131" s="239"/>
      <c r="K131" s="239"/>
      <c r="L131" s="239"/>
      <c r="M131" s="239"/>
      <c r="N131" s="239"/>
      <c r="O131" s="239"/>
      <c r="P131" s="239"/>
      <c r="Q131" s="250"/>
      <c r="R131" s="261"/>
      <c r="S131" s="222">
        <f t="shared" si="1"/>
        <v>0</v>
      </c>
      <c r="T131" s="228">
        <f t="shared" si="2"/>
        <v>0</v>
      </c>
      <c r="U131" s="222">
        <f t="shared" si="3"/>
        <v>0</v>
      </c>
      <c r="V131" s="222">
        <f t="shared" si="4"/>
        <v>0</v>
      </c>
      <c r="W131" s="228">
        <f t="shared" si="5"/>
        <v>0</v>
      </c>
      <c r="X131" s="228"/>
      <c r="Y131" s="35"/>
    </row>
    <row r="132" spans="1:25" ht="15" hidden="1" customHeight="1" x14ac:dyDescent="0.25">
      <c r="A132" s="152" t="s">
        <v>224</v>
      </c>
      <c r="B132" s="110" t="s">
        <v>276</v>
      </c>
      <c r="C132" s="25"/>
      <c r="D132" s="405"/>
      <c r="E132" s="406"/>
      <c r="F132" s="34">
        <f>D132*E132</f>
        <v>0</v>
      </c>
      <c r="G132" s="35">
        <f>F132*C4</f>
        <v>0</v>
      </c>
      <c r="H132" s="239"/>
      <c r="I132" s="239"/>
      <c r="J132" s="239"/>
      <c r="K132" s="239"/>
      <c r="L132" s="239"/>
      <c r="M132" s="239"/>
      <c r="N132" s="239"/>
      <c r="O132" s="239"/>
      <c r="P132" s="239"/>
      <c r="Q132" s="250"/>
      <c r="R132" s="261"/>
      <c r="S132" s="222">
        <f t="shared" si="1"/>
        <v>0</v>
      </c>
      <c r="T132" s="228">
        <f t="shared" si="2"/>
        <v>0</v>
      </c>
      <c r="U132" s="222">
        <f t="shared" si="3"/>
        <v>0</v>
      </c>
      <c r="V132" s="222">
        <f t="shared" si="4"/>
        <v>0</v>
      </c>
      <c r="W132" s="228">
        <f t="shared" si="5"/>
        <v>0</v>
      </c>
      <c r="X132" s="228"/>
      <c r="Y132" s="35"/>
    </row>
    <row r="133" spans="1:25" ht="15" customHeight="1" x14ac:dyDescent="0.25">
      <c r="A133" s="217" t="s">
        <v>105</v>
      </c>
      <c r="B133" s="218" t="s">
        <v>58</v>
      </c>
      <c r="C133" s="214"/>
      <c r="D133" s="215"/>
      <c r="E133" s="216"/>
      <c r="F133" s="211">
        <f>SUM(F134:F138)</f>
        <v>273750</v>
      </c>
      <c r="G133" s="212">
        <f>SUM(G134:G138)</f>
        <v>273750</v>
      </c>
      <c r="H133" s="239"/>
      <c r="I133" s="239"/>
      <c r="J133" s="239"/>
      <c r="K133" s="239"/>
      <c r="L133" s="239"/>
      <c r="M133" s="239"/>
      <c r="N133" s="239"/>
      <c r="O133" s="239"/>
      <c r="P133" s="239"/>
      <c r="Q133" s="250"/>
      <c r="R133" s="261"/>
      <c r="S133" s="236">
        <f t="shared" si="1"/>
        <v>-273750</v>
      </c>
      <c r="T133" s="237">
        <f t="shared" si="2"/>
        <v>-1</v>
      </c>
      <c r="U133" s="236">
        <f t="shared" si="3"/>
        <v>0</v>
      </c>
      <c r="V133" s="236">
        <f t="shared" si="4"/>
        <v>-273750</v>
      </c>
      <c r="W133" s="237">
        <f t="shared" si="5"/>
        <v>-1</v>
      </c>
      <c r="X133" s="237"/>
      <c r="Y133" s="35"/>
    </row>
    <row r="134" spans="1:25" ht="15" customHeight="1" x14ac:dyDescent="0.25">
      <c r="A134" s="152" t="s">
        <v>225</v>
      </c>
      <c r="B134" s="110" t="s">
        <v>462</v>
      </c>
      <c r="C134" s="25" t="s">
        <v>461</v>
      </c>
      <c r="D134" s="405">
        <v>200</v>
      </c>
      <c r="E134" s="406">
        <v>250</v>
      </c>
      <c r="F134" s="34">
        <f>D134*E134</f>
        <v>50000</v>
      </c>
      <c r="G134" s="35">
        <f>F134*C4</f>
        <v>50000</v>
      </c>
      <c r="H134" s="239"/>
      <c r="I134" s="239"/>
      <c r="J134" s="239"/>
      <c r="K134" s="239"/>
      <c r="L134" s="239"/>
      <c r="M134" s="239"/>
      <c r="N134" s="239"/>
      <c r="O134" s="239"/>
      <c r="P134" s="239"/>
      <c r="Q134" s="250"/>
      <c r="R134" s="261"/>
      <c r="S134" s="222">
        <f t="shared" si="1"/>
        <v>-50000</v>
      </c>
      <c r="T134" s="228">
        <f t="shared" si="2"/>
        <v>-1</v>
      </c>
      <c r="U134" s="222">
        <f t="shared" si="3"/>
        <v>0</v>
      </c>
      <c r="V134" s="222">
        <f t="shared" si="4"/>
        <v>-50000</v>
      </c>
      <c r="W134" s="228">
        <f t="shared" si="5"/>
        <v>-1</v>
      </c>
      <c r="X134" s="228"/>
      <c r="Y134" s="35"/>
    </row>
    <row r="135" spans="1:25" ht="15" customHeight="1" x14ac:dyDescent="0.25">
      <c r="A135" s="152" t="s">
        <v>226</v>
      </c>
      <c r="B135" s="110" t="s">
        <v>463</v>
      </c>
      <c r="C135" s="25" t="s">
        <v>461</v>
      </c>
      <c r="D135" s="405">
        <v>250</v>
      </c>
      <c r="E135" s="406">
        <v>125</v>
      </c>
      <c r="F135" s="34">
        <f>D135*E135</f>
        <v>31250</v>
      </c>
      <c r="G135" s="35">
        <f>F135*C4</f>
        <v>31250</v>
      </c>
      <c r="H135" s="239"/>
      <c r="I135" s="239"/>
      <c r="J135" s="239"/>
      <c r="K135" s="239"/>
      <c r="L135" s="239"/>
      <c r="M135" s="239"/>
      <c r="N135" s="239"/>
      <c r="O135" s="239"/>
      <c r="P135" s="239"/>
      <c r="Q135" s="250"/>
      <c r="R135" s="261"/>
      <c r="S135" s="222">
        <f t="shared" si="1"/>
        <v>-31250</v>
      </c>
      <c r="T135" s="228">
        <f t="shared" si="2"/>
        <v>-1</v>
      </c>
      <c r="U135" s="222">
        <f t="shared" si="3"/>
        <v>0</v>
      </c>
      <c r="V135" s="222">
        <f t="shared" si="4"/>
        <v>-31250</v>
      </c>
      <c r="W135" s="228">
        <f t="shared" si="5"/>
        <v>-1</v>
      </c>
      <c r="X135" s="228"/>
      <c r="Y135" s="35"/>
    </row>
    <row r="136" spans="1:25" ht="15" customHeight="1" x14ac:dyDescent="0.25">
      <c r="A136" s="152" t="s">
        <v>227</v>
      </c>
      <c r="B136" s="110" t="s">
        <v>464</v>
      </c>
      <c r="C136" s="25" t="s">
        <v>461</v>
      </c>
      <c r="D136" s="405">
        <v>50</v>
      </c>
      <c r="E136" s="406">
        <v>150</v>
      </c>
      <c r="F136" s="34">
        <f>D136*E136</f>
        <v>7500</v>
      </c>
      <c r="G136" s="35">
        <f>F136*C4</f>
        <v>7500</v>
      </c>
      <c r="H136" s="239"/>
      <c r="I136" s="239"/>
      <c r="J136" s="239"/>
      <c r="K136" s="239"/>
      <c r="L136" s="239"/>
      <c r="M136" s="239"/>
      <c r="N136" s="239"/>
      <c r="O136" s="239"/>
      <c r="P136" s="239"/>
      <c r="Q136" s="250"/>
      <c r="R136" s="261"/>
      <c r="S136" s="222">
        <f t="shared" si="1"/>
        <v>-7500</v>
      </c>
      <c r="T136" s="228">
        <f t="shared" si="2"/>
        <v>-1</v>
      </c>
      <c r="U136" s="222">
        <f t="shared" si="3"/>
        <v>0</v>
      </c>
      <c r="V136" s="222">
        <f t="shared" si="4"/>
        <v>-7500</v>
      </c>
      <c r="W136" s="228">
        <f t="shared" si="5"/>
        <v>-1</v>
      </c>
      <c r="X136" s="228"/>
      <c r="Y136" s="35"/>
    </row>
    <row r="137" spans="1:25" ht="15" customHeight="1" x14ac:dyDescent="0.25">
      <c r="A137" s="152" t="s">
        <v>228</v>
      </c>
      <c r="B137" s="110" t="s">
        <v>465</v>
      </c>
      <c r="C137" s="25" t="s">
        <v>461</v>
      </c>
      <c r="D137" s="405">
        <v>200</v>
      </c>
      <c r="E137" s="406">
        <v>400</v>
      </c>
      <c r="F137" s="34">
        <f>D137*E137</f>
        <v>80000</v>
      </c>
      <c r="G137" s="35">
        <f>F137*C4</f>
        <v>80000</v>
      </c>
      <c r="H137" s="239"/>
      <c r="I137" s="239"/>
      <c r="J137" s="239"/>
      <c r="K137" s="239"/>
      <c r="L137" s="239"/>
      <c r="M137" s="239"/>
      <c r="N137" s="239"/>
      <c r="O137" s="239"/>
      <c r="P137" s="239"/>
      <c r="Q137" s="250"/>
      <c r="R137" s="261"/>
      <c r="S137" s="222">
        <f t="shared" si="1"/>
        <v>-80000</v>
      </c>
      <c r="T137" s="228">
        <f t="shared" si="2"/>
        <v>-1</v>
      </c>
      <c r="U137" s="222">
        <f t="shared" si="3"/>
        <v>0</v>
      </c>
      <c r="V137" s="222">
        <f t="shared" si="4"/>
        <v>-80000</v>
      </c>
      <c r="W137" s="228">
        <f t="shared" si="5"/>
        <v>-1</v>
      </c>
      <c r="X137" s="228"/>
      <c r="Y137" s="35"/>
    </row>
    <row r="138" spans="1:25" ht="15" customHeight="1" x14ac:dyDescent="0.25">
      <c r="A138" s="152" t="s">
        <v>229</v>
      </c>
      <c r="B138" s="110" t="s">
        <v>466</v>
      </c>
      <c r="C138" s="25" t="s">
        <v>461</v>
      </c>
      <c r="D138" s="405">
        <v>30</v>
      </c>
      <c r="E138" s="406">
        <v>3500</v>
      </c>
      <c r="F138" s="34">
        <f>D138*E138</f>
        <v>105000</v>
      </c>
      <c r="G138" s="35">
        <f>F138*C4</f>
        <v>105000</v>
      </c>
      <c r="H138" s="239"/>
      <c r="I138" s="239"/>
      <c r="J138" s="239"/>
      <c r="K138" s="239"/>
      <c r="L138" s="239"/>
      <c r="M138" s="239"/>
      <c r="N138" s="239"/>
      <c r="O138" s="239"/>
      <c r="P138" s="239"/>
      <c r="Q138" s="250"/>
      <c r="R138" s="261"/>
      <c r="S138" s="222">
        <f t="shared" si="1"/>
        <v>-105000</v>
      </c>
      <c r="T138" s="228">
        <f t="shared" si="2"/>
        <v>-1</v>
      </c>
      <c r="U138" s="222">
        <f t="shared" si="3"/>
        <v>0</v>
      </c>
      <c r="V138" s="222">
        <f t="shared" si="4"/>
        <v>-105000</v>
      </c>
      <c r="W138" s="228">
        <f t="shared" si="5"/>
        <v>-1</v>
      </c>
      <c r="X138" s="228"/>
      <c r="Y138" s="35"/>
    </row>
    <row r="139" spans="1:25" ht="15" customHeight="1" x14ac:dyDescent="0.25">
      <c r="A139" s="217" t="s">
        <v>106</v>
      </c>
      <c r="B139" s="218" t="s">
        <v>57</v>
      </c>
      <c r="C139" s="214"/>
      <c r="D139" s="215"/>
      <c r="E139" s="216"/>
      <c r="F139" s="211">
        <f>SUM(F140:F144)</f>
        <v>77500</v>
      </c>
      <c r="G139" s="212">
        <f>SUM(G140:G144)</f>
        <v>77500</v>
      </c>
      <c r="H139" s="239"/>
      <c r="I139" s="239"/>
      <c r="J139" s="239"/>
      <c r="K139" s="239"/>
      <c r="L139" s="239"/>
      <c r="M139" s="239"/>
      <c r="N139" s="239"/>
      <c r="O139" s="239"/>
      <c r="P139" s="239"/>
      <c r="Q139" s="250"/>
      <c r="R139" s="261"/>
      <c r="S139" s="236">
        <f t="shared" si="1"/>
        <v>-77500</v>
      </c>
      <c r="T139" s="237">
        <f t="shared" si="2"/>
        <v>-1</v>
      </c>
      <c r="U139" s="236">
        <f t="shared" si="3"/>
        <v>0</v>
      </c>
      <c r="V139" s="236">
        <f t="shared" si="4"/>
        <v>-77500</v>
      </c>
      <c r="W139" s="237">
        <f t="shared" si="5"/>
        <v>-1</v>
      </c>
      <c r="X139" s="237"/>
      <c r="Y139" s="35"/>
    </row>
    <row r="140" spans="1:25" ht="15" customHeight="1" x14ac:dyDescent="0.25">
      <c r="A140" s="152" t="s">
        <v>230</v>
      </c>
      <c r="B140" s="110" t="s">
        <v>467</v>
      </c>
      <c r="C140" s="25" t="s">
        <v>468</v>
      </c>
      <c r="D140" s="405">
        <v>250</v>
      </c>
      <c r="E140" s="406">
        <v>250</v>
      </c>
      <c r="F140" s="34">
        <f>D140*E140</f>
        <v>62500</v>
      </c>
      <c r="G140" s="35">
        <f>F140*C4</f>
        <v>62500</v>
      </c>
      <c r="H140" s="239"/>
      <c r="I140" s="239"/>
      <c r="J140" s="239"/>
      <c r="K140" s="239"/>
      <c r="L140" s="239"/>
      <c r="M140" s="239"/>
      <c r="N140" s="239"/>
      <c r="O140" s="239"/>
      <c r="P140" s="239"/>
      <c r="Q140" s="250"/>
      <c r="R140" s="261"/>
      <c r="S140" s="222">
        <f t="shared" si="1"/>
        <v>-62500</v>
      </c>
      <c r="T140" s="228">
        <f t="shared" si="2"/>
        <v>-1</v>
      </c>
      <c r="U140" s="222">
        <f t="shared" si="3"/>
        <v>0</v>
      </c>
      <c r="V140" s="222">
        <f t="shared" si="4"/>
        <v>-62500</v>
      </c>
      <c r="W140" s="228">
        <f t="shared" si="5"/>
        <v>-1</v>
      </c>
      <c r="X140" s="228"/>
      <c r="Y140" s="35"/>
    </row>
    <row r="141" spans="1:25" ht="15" customHeight="1" x14ac:dyDescent="0.25">
      <c r="A141" s="152" t="s">
        <v>231</v>
      </c>
      <c r="B141" s="110" t="s">
        <v>469</v>
      </c>
      <c r="C141" s="25" t="s">
        <v>468</v>
      </c>
      <c r="D141" s="405">
        <v>100</v>
      </c>
      <c r="E141" s="406">
        <v>150</v>
      </c>
      <c r="F141" s="34">
        <f>D141*E141</f>
        <v>15000</v>
      </c>
      <c r="G141" s="35">
        <f>F141*C4</f>
        <v>15000</v>
      </c>
      <c r="H141" s="239"/>
      <c r="I141" s="239"/>
      <c r="J141" s="239"/>
      <c r="K141" s="239"/>
      <c r="L141" s="239"/>
      <c r="M141" s="239"/>
      <c r="N141" s="239"/>
      <c r="O141" s="239"/>
      <c r="P141" s="239"/>
      <c r="Q141" s="250"/>
      <c r="R141" s="261"/>
      <c r="S141" s="222">
        <f t="shared" si="1"/>
        <v>-15000</v>
      </c>
      <c r="T141" s="228">
        <f t="shared" si="2"/>
        <v>-1</v>
      </c>
      <c r="U141" s="222">
        <f t="shared" si="3"/>
        <v>0</v>
      </c>
      <c r="V141" s="222">
        <f t="shared" si="4"/>
        <v>-15000</v>
      </c>
      <c r="W141" s="228">
        <f t="shared" si="5"/>
        <v>-1</v>
      </c>
      <c r="X141" s="228"/>
      <c r="Y141" s="35"/>
    </row>
    <row r="142" spans="1:25" ht="15" hidden="1" customHeight="1" x14ac:dyDescent="0.25">
      <c r="A142" s="152" t="s">
        <v>232</v>
      </c>
      <c r="B142" s="110"/>
      <c r="C142" s="25"/>
      <c r="D142" s="405"/>
      <c r="E142" s="406"/>
      <c r="F142" s="34">
        <f>D142*E142</f>
        <v>0</v>
      </c>
      <c r="G142" s="35">
        <f>F142*C4</f>
        <v>0</v>
      </c>
      <c r="H142" s="239"/>
      <c r="I142" s="239"/>
      <c r="J142" s="239"/>
      <c r="K142" s="239"/>
      <c r="L142" s="239"/>
      <c r="M142" s="239"/>
      <c r="N142" s="239"/>
      <c r="O142" s="239"/>
      <c r="P142" s="239"/>
      <c r="Q142" s="250"/>
      <c r="R142" s="261"/>
      <c r="S142" s="222">
        <f t="shared" si="1"/>
        <v>0</v>
      </c>
      <c r="T142" s="228">
        <f t="shared" si="2"/>
        <v>0</v>
      </c>
      <c r="U142" s="222">
        <f t="shared" si="3"/>
        <v>0</v>
      </c>
      <c r="V142" s="222">
        <f t="shared" si="4"/>
        <v>0</v>
      </c>
      <c r="W142" s="228">
        <f t="shared" si="5"/>
        <v>0</v>
      </c>
      <c r="X142" s="228"/>
      <c r="Y142" s="35"/>
    </row>
    <row r="143" spans="1:25" ht="15" hidden="1" customHeight="1" x14ac:dyDescent="0.25">
      <c r="A143" s="152" t="s">
        <v>233</v>
      </c>
      <c r="B143" s="110" t="s">
        <v>285</v>
      </c>
      <c r="C143" s="25"/>
      <c r="D143" s="405"/>
      <c r="E143" s="406"/>
      <c r="F143" s="34">
        <f>D143*E143</f>
        <v>0</v>
      </c>
      <c r="G143" s="35">
        <f>F143*C4</f>
        <v>0</v>
      </c>
      <c r="H143" s="239"/>
      <c r="I143" s="239"/>
      <c r="J143" s="239"/>
      <c r="K143" s="239"/>
      <c r="L143" s="239"/>
      <c r="M143" s="239"/>
      <c r="N143" s="239"/>
      <c r="O143" s="239"/>
      <c r="P143" s="239"/>
      <c r="Q143" s="250"/>
      <c r="R143" s="261"/>
      <c r="S143" s="222">
        <f t="shared" si="1"/>
        <v>0</v>
      </c>
      <c r="T143" s="228">
        <f t="shared" si="2"/>
        <v>0</v>
      </c>
      <c r="U143" s="222">
        <f t="shared" si="3"/>
        <v>0</v>
      </c>
      <c r="V143" s="222">
        <f t="shared" si="4"/>
        <v>0</v>
      </c>
      <c r="W143" s="228">
        <f t="shared" si="5"/>
        <v>0</v>
      </c>
      <c r="X143" s="228"/>
      <c r="Y143" s="35"/>
    </row>
    <row r="144" spans="1:25" ht="15" hidden="1" customHeight="1" x14ac:dyDescent="0.25">
      <c r="A144" s="152" t="s">
        <v>234</v>
      </c>
      <c r="B144" s="110" t="s">
        <v>286</v>
      </c>
      <c r="C144" s="25"/>
      <c r="D144" s="405"/>
      <c r="E144" s="406"/>
      <c r="F144" s="34">
        <f>D144*E144</f>
        <v>0</v>
      </c>
      <c r="G144" s="35">
        <f>F144*C4</f>
        <v>0</v>
      </c>
      <c r="H144" s="239"/>
      <c r="I144" s="239"/>
      <c r="J144" s="239"/>
      <c r="K144" s="239"/>
      <c r="L144" s="239"/>
      <c r="M144" s="239"/>
      <c r="N144" s="239"/>
      <c r="O144" s="239"/>
      <c r="P144" s="239"/>
      <c r="Q144" s="250"/>
      <c r="R144" s="261"/>
      <c r="S144" s="222">
        <f t="shared" si="1"/>
        <v>0</v>
      </c>
      <c r="T144" s="228">
        <f t="shared" si="2"/>
        <v>0</v>
      </c>
      <c r="U144" s="222">
        <f t="shared" si="3"/>
        <v>0</v>
      </c>
      <c r="V144" s="222">
        <f t="shared" si="4"/>
        <v>0</v>
      </c>
      <c r="W144" s="228">
        <f t="shared" si="5"/>
        <v>0</v>
      </c>
      <c r="X144" s="228"/>
      <c r="Y144" s="35"/>
    </row>
    <row r="145" spans="1:25" ht="15" customHeight="1" x14ac:dyDescent="0.25">
      <c r="A145" s="217" t="s">
        <v>107</v>
      </c>
      <c r="B145" s="218" t="s">
        <v>74</v>
      </c>
      <c r="C145" s="214"/>
      <c r="D145" s="215"/>
      <c r="E145" s="216"/>
      <c r="F145" s="211">
        <f>SUM(F146:F150)</f>
        <v>0</v>
      </c>
      <c r="G145" s="212">
        <f>SUM(G146:G150)</f>
        <v>0</v>
      </c>
      <c r="H145" s="239"/>
      <c r="I145" s="239"/>
      <c r="J145" s="239"/>
      <c r="K145" s="239"/>
      <c r="L145" s="239"/>
      <c r="M145" s="239"/>
      <c r="N145" s="239"/>
      <c r="O145" s="239"/>
      <c r="P145" s="239"/>
      <c r="Q145" s="250"/>
      <c r="R145" s="261"/>
      <c r="S145" s="236">
        <f t="shared" si="1"/>
        <v>0</v>
      </c>
      <c r="T145" s="237">
        <f t="shared" si="2"/>
        <v>0</v>
      </c>
      <c r="U145" s="236">
        <f t="shared" si="3"/>
        <v>0</v>
      </c>
      <c r="V145" s="236">
        <f t="shared" si="4"/>
        <v>0</v>
      </c>
      <c r="W145" s="237">
        <f t="shared" si="5"/>
        <v>0</v>
      </c>
      <c r="X145" s="237"/>
      <c r="Y145" s="35"/>
    </row>
    <row r="146" spans="1:25" ht="15" hidden="1" customHeight="1" x14ac:dyDescent="0.25">
      <c r="A146" s="152" t="s">
        <v>235</v>
      </c>
      <c r="B146" s="110" t="s">
        <v>287</v>
      </c>
      <c r="C146" s="25"/>
      <c r="D146" s="405"/>
      <c r="E146" s="406"/>
      <c r="F146" s="34">
        <f>D146*E146</f>
        <v>0</v>
      </c>
      <c r="G146" s="35">
        <f>F146*C4</f>
        <v>0</v>
      </c>
      <c r="H146" s="239"/>
      <c r="I146" s="239"/>
      <c r="J146" s="239"/>
      <c r="K146" s="239"/>
      <c r="L146" s="239"/>
      <c r="M146" s="239"/>
      <c r="N146" s="239"/>
      <c r="O146" s="239"/>
      <c r="P146" s="239"/>
      <c r="Q146" s="250"/>
      <c r="R146" s="261"/>
      <c r="S146" s="222">
        <f t="shared" si="1"/>
        <v>0</v>
      </c>
      <c r="T146" s="228">
        <f t="shared" si="2"/>
        <v>0</v>
      </c>
      <c r="U146" s="222">
        <f t="shared" si="3"/>
        <v>0</v>
      </c>
      <c r="V146" s="222">
        <f t="shared" si="4"/>
        <v>0</v>
      </c>
      <c r="W146" s="228">
        <f t="shared" si="5"/>
        <v>0</v>
      </c>
      <c r="X146" s="228"/>
      <c r="Y146" s="35"/>
    </row>
    <row r="147" spans="1:25" ht="15" hidden="1" customHeight="1" x14ac:dyDescent="0.25">
      <c r="A147" s="152" t="s">
        <v>236</v>
      </c>
      <c r="B147" s="110" t="s">
        <v>288</v>
      </c>
      <c r="C147" s="25"/>
      <c r="D147" s="405"/>
      <c r="E147" s="406"/>
      <c r="F147" s="34">
        <f>D147*E147</f>
        <v>0</v>
      </c>
      <c r="G147" s="35">
        <f>F147*C4</f>
        <v>0</v>
      </c>
      <c r="H147" s="239"/>
      <c r="I147" s="239"/>
      <c r="J147" s="239"/>
      <c r="K147" s="239"/>
      <c r="L147" s="239"/>
      <c r="M147" s="239"/>
      <c r="N147" s="239"/>
      <c r="O147" s="239"/>
      <c r="P147" s="239"/>
      <c r="Q147" s="250"/>
      <c r="R147" s="261"/>
      <c r="S147" s="222">
        <f t="shared" ref="S147:S210" si="8">R147-F147</f>
        <v>0</v>
      </c>
      <c r="T147" s="228">
        <f t="shared" ref="T147:T210" si="9">IF(F147=0,0,S147/F147)</f>
        <v>0</v>
      </c>
      <c r="U147" s="222">
        <f t="shared" ref="U147:U210" si="10">R147*$C$4</f>
        <v>0</v>
      </c>
      <c r="V147" s="222">
        <f t="shared" ref="V147:V210" si="11">U147-G147</f>
        <v>0</v>
      </c>
      <c r="W147" s="228">
        <f t="shared" ref="W147:W210" si="12">IF(G147=0,0,V147/G147)</f>
        <v>0</v>
      </c>
      <c r="X147" s="228"/>
      <c r="Y147" s="35"/>
    </row>
    <row r="148" spans="1:25" ht="15" hidden="1" customHeight="1" x14ac:dyDescent="0.25">
      <c r="A148" s="152" t="s">
        <v>237</v>
      </c>
      <c r="B148" s="110" t="s">
        <v>289</v>
      </c>
      <c r="C148" s="25"/>
      <c r="D148" s="405"/>
      <c r="E148" s="406"/>
      <c r="F148" s="34">
        <f>D148*E148</f>
        <v>0</v>
      </c>
      <c r="G148" s="35">
        <f>F148*C4</f>
        <v>0</v>
      </c>
      <c r="H148" s="239"/>
      <c r="I148" s="239"/>
      <c r="J148" s="239"/>
      <c r="K148" s="239"/>
      <c r="L148" s="239"/>
      <c r="M148" s="239"/>
      <c r="N148" s="239"/>
      <c r="O148" s="239"/>
      <c r="P148" s="239"/>
      <c r="Q148" s="250"/>
      <c r="R148" s="261"/>
      <c r="S148" s="222">
        <f t="shared" si="8"/>
        <v>0</v>
      </c>
      <c r="T148" s="228">
        <f t="shared" si="9"/>
        <v>0</v>
      </c>
      <c r="U148" s="222">
        <f t="shared" si="10"/>
        <v>0</v>
      </c>
      <c r="V148" s="222">
        <f t="shared" si="11"/>
        <v>0</v>
      </c>
      <c r="W148" s="228">
        <f t="shared" si="12"/>
        <v>0</v>
      </c>
      <c r="X148" s="228"/>
      <c r="Y148" s="35"/>
    </row>
    <row r="149" spans="1:25" ht="15" hidden="1" customHeight="1" x14ac:dyDescent="0.25">
      <c r="A149" s="152" t="s">
        <v>238</v>
      </c>
      <c r="B149" s="110" t="s">
        <v>290</v>
      </c>
      <c r="C149" s="25"/>
      <c r="D149" s="405"/>
      <c r="E149" s="406"/>
      <c r="F149" s="34">
        <f>D149*E149</f>
        <v>0</v>
      </c>
      <c r="G149" s="35">
        <f>F149*C4</f>
        <v>0</v>
      </c>
      <c r="H149" s="239"/>
      <c r="I149" s="239"/>
      <c r="J149" s="239"/>
      <c r="K149" s="239"/>
      <c r="L149" s="239"/>
      <c r="M149" s="239"/>
      <c r="N149" s="239"/>
      <c r="O149" s="239"/>
      <c r="P149" s="239"/>
      <c r="Q149" s="250"/>
      <c r="R149" s="261"/>
      <c r="S149" s="222">
        <f t="shared" si="8"/>
        <v>0</v>
      </c>
      <c r="T149" s="228">
        <f t="shared" si="9"/>
        <v>0</v>
      </c>
      <c r="U149" s="222">
        <f t="shared" si="10"/>
        <v>0</v>
      </c>
      <c r="V149" s="222">
        <f t="shared" si="11"/>
        <v>0</v>
      </c>
      <c r="W149" s="228">
        <f t="shared" si="12"/>
        <v>0</v>
      </c>
      <c r="X149" s="228"/>
      <c r="Y149" s="35"/>
    </row>
    <row r="150" spans="1:25" ht="15" hidden="1" customHeight="1" x14ac:dyDescent="0.25">
      <c r="A150" s="152" t="s">
        <v>239</v>
      </c>
      <c r="B150" s="110" t="s">
        <v>291</v>
      </c>
      <c r="C150" s="25"/>
      <c r="D150" s="405"/>
      <c r="E150" s="406"/>
      <c r="F150" s="34">
        <f>D150*E150</f>
        <v>0</v>
      </c>
      <c r="G150" s="35">
        <f>F150*C4</f>
        <v>0</v>
      </c>
      <c r="H150" s="239"/>
      <c r="I150" s="239"/>
      <c r="J150" s="239"/>
      <c r="K150" s="239"/>
      <c r="L150" s="239"/>
      <c r="M150" s="239"/>
      <c r="N150" s="239"/>
      <c r="O150" s="239"/>
      <c r="P150" s="239"/>
      <c r="Q150" s="250"/>
      <c r="R150" s="261"/>
      <c r="S150" s="222">
        <f t="shared" si="8"/>
        <v>0</v>
      </c>
      <c r="T150" s="228">
        <f t="shared" si="9"/>
        <v>0</v>
      </c>
      <c r="U150" s="222">
        <f t="shared" si="10"/>
        <v>0</v>
      </c>
      <c r="V150" s="222">
        <f t="shared" si="11"/>
        <v>0</v>
      </c>
      <c r="W150" s="228">
        <f t="shared" si="12"/>
        <v>0</v>
      </c>
      <c r="X150" s="228"/>
      <c r="Y150" s="35"/>
    </row>
    <row r="151" spans="1:25" ht="15" customHeight="1" x14ac:dyDescent="0.25">
      <c r="A151" s="217" t="s">
        <v>108</v>
      </c>
      <c r="B151" s="218" t="s">
        <v>470</v>
      </c>
      <c r="C151" s="214"/>
      <c r="D151" s="215"/>
      <c r="E151" s="216"/>
      <c r="F151" s="211">
        <f>SUM(F152:F156)</f>
        <v>0</v>
      </c>
      <c r="G151" s="212">
        <f>SUM(G152:G156)</f>
        <v>0</v>
      </c>
      <c r="H151" s="239"/>
      <c r="I151" s="239"/>
      <c r="J151" s="239"/>
      <c r="K151" s="239"/>
      <c r="L151" s="239"/>
      <c r="M151" s="239"/>
      <c r="N151" s="239"/>
      <c r="O151" s="239"/>
      <c r="P151" s="239"/>
      <c r="Q151" s="250"/>
      <c r="R151" s="261"/>
      <c r="S151" s="236">
        <f t="shared" si="8"/>
        <v>0</v>
      </c>
      <c r="T151" s="237">
        <f t="shared" si="9"/>
        <v>0</v>
      </c>
      <c r="U151" s="236">
        <f t="shared" si="10"/>
        <v>0</v>
      </c>
      <c r="V151" s="236">
        <f t="shared" si="11"/>
        <v>0</v>
      </c>
      <c r="W151" s="237">
        <f t="shared" si="12"/>
        <v>0</v>
      </c>
      <c r="X151" s="237"/>
      <c r="Y151" s="35"/>
    </row>
    <row r="152" spans="1:25" ht="15" hidden="1" customHeight="1" x14ac:dyDescent="0.25">
      <c r="A152" s="157" t="s">
        <v>240</v>
      </c>
      <c r="B152" s="110" t="s">
        <v>471</v>
      </c>
      <c r="C152" s="25"/>
      <c r="D152" s="405"/>
      <c r="E152" s="406"/>
      <c r="F152" s="34">
        <f>D152*E152</f>
        <v>0</v>
      </c>
      <c r="G152" s="35">
        <f>F152*C4</f>
        <v>0</v>
      </c>
      <c r="H152" s="239"/>
      <c r="I152" s="239"/>
      <c r="J152" s="239"/>
      <c r="K152" s="239"/>
      <c r="L152" s="239"/>
      <c r="M152" s="239"/>
      <c r="N152" s="239"/>
      <c r="O152" s="239"/>
      <c r="P152" s="239"/>
      <c r="Q152" s="250"/>
      <c r="R152" s="261"/>
      <c r="S152" s="222">
        <f t="shared" si="8"/>
        <v>0</v>
      </c>
      <c r="T152" s="228">
        <f t="shared" si="9"/>
        <v>0</v>
      </c>
      <c r="U152" s="222">
        <f t="shared" si="10"/>
        <v>0</v>
      </c>
      <c r="V152" s="222">
        <f t="shared" si="11"/>
        <v>0</v>
      </c>
      <c r="W152" s="228">
        <f t="shared" si="12"/>
        <v>0</v>
      </c>
      <c r="X152" s="228"/>
      <c r="Y152" s="35"/>
    </row>
    <row r="153" spans="1:25" ht="15" hidden="1" customHeight="1" x14ac:dyDescent="0.25">
      <c r="A153" s="157" t="s">
        <v>241</v>
      </c>
      <c r="B153" s="110" t="s">
        <v>472</v>
      </c>
      <c r="C153" s="25"/>
      <c r="D153" s="405"/>
      <c r="E153" s="406"/>
      <c r="F153" s="34">
        <f>D153*E153</f>
        <v>0</v>
      </c>
      <c r="G153" s="35">
        <f>F153*C4</f>
        <v>0</v>
      </c>
      <c r="H153" s="239"/>
      <c r="I153" s="239"/>
      <c r="J153" s="239"/>
      <c r="K153" s="239"/>
      <c r="L153" s="239"/>
      <c r="M153" s="239"/>
      <c r="N153" s="239"/>
      <c r="O153" s="239"/>
      <c r="P153" s="239"/>
      <c r="Q153" s="250"/>
      <c r="R153" s="261"/>
      <c r="S153" s="222">
        <f t="shared" si="8"/>
        <v>0</v>
      </c>
      <c r="T153" s="228">
        <f t="shared" si="9"/>
        <v>0</v>
      </c>
      <c r="U153" s="222">
        <f t="shared" si="10"/>
        <v>0</v>
      </c>
      <c r="V153" s="222">
        <f t="shared" si="11"/>
        <v>0</v>
      </c>
      <c r="W153" s="228">
        <f t="shared" si="12"/>
        <v>0</v>
      </c>
      <c r="X153" s="228"/>
      <c r="Y153" s="35"/>
    </row>
    <row r="154" spans="1:25" ht="15" hidden="1" customHeight="1" x14ac:dyDescent="0.25">
      <c r="A154" s="157" t="s">
        <v>242</v>
      </c>
      <c r="B154" s="110" t="s">
        <v>473</v>
      </c>
      <c r="C154" s="25"/>
      <c r="D154" s="405"/>
      <c r="E154" s="406"/>
      <c r="F154" s="34">
        <f>D154*E154</f>
        <v>0</v>
      </c>
      <c r="G154" s="35">
        <f>F154*C4</f>
        <v>0</v>
      </c>
      <c r="H154" s="239"/>
      <c r="I154" s="239"/>
      <c r="J154" s="239"/>
      <c r="K154" s="239"/>
      <c r="L154" s="239"/>
      <c r="M154" s="239"/>
      <c r="N154" s="239"/>
      <c r="O154" s="239"/>
      <c r="P154" s="239"/>
      <c r="Q154" s="250"/>
      <c r="R154" s="261"/>
      <c r="S154" s="222">
        <f t="shared" si="8"/>
        <v>0</v>
      </c>
      <c r="T154" s="228">
        <f t="shared" si="9"/>
        <v>0</v>
      </c>
      <c r="U154" s="222">
        <f t="shared" si="10"/>
        <v>0</v>
      </c>
      <c r="V154" s="222">
        <f t="shared" si="11"/>
        <v>0</v>
      </c>
      <c r="W154" s="228">
        <f t="shared" si="12"/>
        <v>0</v>
      </c>
      <c r="X154" s="228"/>
      <c r="Y154" s="35"/>
    </row>
    <row r="155" spans="1:25" ht="15" hidden="1" customHeight="1" x14ac:dyDescent="0.25">
      <c r="A155" s="157" t="s">
        <v>243</v>
      </c>
      <c r="B155" s="110" t="s">
        <v>474</v>
      </c>
      <c r="C155" s="25"/>
      <c r="D155" s="405"/>
      <c r="E155" s="406"/>
      <c r="F155" s="34">
        <f>D155*E155</f>
        <v>0</v>
      </c>
      <c r="G155" s="35">
        <f>F155*C4</f>
        <v>0</v>
      </c>
      <c r="H155" s="239"/>
      <c r="I155" s="239"/>
      <c r="J155" s="239"/>
      <c r="K155" s="239"/>
      <c r="L155" s="239"/>
      <c r="M155" s="239"/>
      <c r="N155" s="239"/>
      <c r="O155" s="239"/>
      <c r="P155" s="239"/>
      <c r="Q155" s="250"/>
      <c r="R155" s="261"/>
      <c r="S155" s="222">
        <f t="shared" si="8"/>
        <v>0</v>
      </c>
      <c r="T155" s="228">
        <f t="shared" si="9"/>
        <v>0</v>
      </c>
      <c r="U155" s="222">
        <f t="shared" si="10"/>
        <v>0</v>
      </c>
      <c r="V155" s="222">
        <f t="shared" si="11"/>
        <v>0</v>
      </c>
      <c r="W155" s="228">
        <f t="shared" si="12"/>
        <v>0</v>
      </c>
      <c r="X155" s="228"/>
      <c r="Y155" s="35"/>
    </row>
    <row r="156" spans="1:25" ht="15" hidden="1" customHeight="1" x14ac:dyDescent="0.25">
      <c r="A156" s="157" t="s">
        <v>244</v>
      </c>
      <c r="B156" s="110" t="s">
        <v>475</v>
      </c>
      <c r="C156" s="25"/>
      <c r="D156" s="405"/>
      <c r="E156" s="406"/>
      <c r="F156" s="34">
        <f>D156*E156</f>
        <v>0</v>
      </c>
      <c r="G156" s="35">
        <f>F156*C4</f>
        <v>0</v>
      </c>
      <c r="H156" s="239"/>
      <c r="I156" s="239"/>
      <c r="J156" s="239"/>
      <c r="K156" s="239"/>
      <c r="L156" s="239"/>
      <c r="M156" s="239"/>
      <c r="N156" s="239"/>
      <c r="O156" s="239"/>
      <c r="P156" s="239"/>
      <c r="Q156" s="250"/>
      <c r="R156" s="261"/>
      <c r="S156" s="222">
        <f t="shared" si="8"/>
        <v>0</v>
      </c>
      <c r="T156" s="228">
        <f t="shared" si="9"/>
        <v>0</v>
      </c>
      <c r="U156" s="222">
        <f t="shared" si="10"/>
        <v>0</v>
      </c>
      <c r="V156" s="222">
        <f t="shared" si="11"/>
        <v>0</v>
      </c>
      <c r="W156" s="228">
        <f t="shared" si="12"/>
        <v>0</v>
      </c>
      <c r="X156" s="228"/>
      <c r="Y156" s="35"/>
    </row>
    <row r="157" spans="1:25" ht="15" customHeight="1" x14ac:dyDescent="0.25">
      <c r="A157" s="217" t="s">
        <v>109</v>
      </c>
      <c r="B157" s="218" t="s">
        <v>476</v>
      </c>
      <c r="C157" s="214"/>
      <c r="D157" s="215"/>
      <c r="E157" s="216"/>
      <c r="F157" s="211">
        <f>SUM(F158:F162)</f>
        <v>0</v>
      </c>
      <c r="G157" s="212">
        <f>SUM(G158:G162)</f>
        <v>0</v>
      </c>
      <c r="H157" s="239"/>
      <c r="I157" s="239"/>
      <c r="J157" s="239"/>
      <c r="K157" s="239"/>
      <c r="L157" s="239"/>
      <c r="M157" s="239"/>
      <c r="N157" s="239"/>
      <c r="O157" s="239"/>
      <c r="P157" s="239"/>
      <c r="Q157" s="250"/>
      <c r="R157" s="261"/>
      <c r="S157" s="236">
        <f t="shared" si="8"/>
        <v>0</v>
      </c>
      <c r="T157" s="237">
        <f t="shared" si="9"/>
        <v>0</v>
      </c>
      <c r="U157" s="236">
        <f t="shared" si="10"/>
        <v>0</v>
      </c>
      <c r="V157" s="236">
        <f t="shared" si="11"/>
        <v>0</v>
      </c>
      <c r="W157" s="237">
        <f t="shared" si="12"/>
        <v>0</v>
      </c>
      <c r="X157" s="237"/>
      <c r="Y157" s="35"/>
    </row>
    <row r="158" spans="1:25" ht="15" hidden="1" customHeight="1" x14ac:dyDescent="0.25">
      <c r="A158" s="152" t="s">
        <v>245</v>
      </c>
      <c r="B158" s="110" t="s">
        <v>477</v>
      </c>
      <c r="C158" s="25"/>
      <c r="D158" s="405"/>
      <c r="E158" s="406"/>
      <c r="F158" s="34">
        <f>D158*E158</f>
        <v>0</v>
      </c>
      <c r="G158" s="35">
        <f>F158*C4</f>
        <v>0</v>
      </c>
      <c r="H158" s="239"/>
      <c r="I158" s="239"/>
      <c r="J158" s="239"/>
      <c r="K158" s="239"/>
      <c r="L158" s="239"/>
      <c r="M158" s="239"/>
      <c r="N158" s="239"/>
      <c r="O158" s="239"/>
      <c r="P158" s="239"/>
      <c r="Q158" s="250"/>
      <c r="R158" s="261"/>
      <c r="S158" s="222">
        <f t="shared" si="8"/>
        <v>0</v>
      </c>
      <c r="T158" s="228">
        <f t="shared" si="9"/>
        <v>0</v>
      </c>
      <c r="U158" s="222">
        <f t="shared" si="10"/>
        <v>0</v>
      </c>
      <c r="V158" s="222">
        <f t="shared" si="11"/>
        <v>0</v>
      </c>
      <c r="W158" s="228">
        <f t="shared" si="12"/>
        <v>0</v>
      </c>
      <c r="X158" s="228"/>
      <c r="Y158" s="35"/>
    </row>
    <row r="159" spans="1:25" ht="15" hidden="1" customHeight="1" x14ac:dyDescent="0.25">
      <c r="A159" s="152" t="s">
        <v>246</v>
      </c>
      <c r="B159" s="110" t="s">
        <v>478</v>
      </c>
      <c r="C159" s="25"/>
      <c r="D159" s="405"/>
      <c r="E159" s="406"/>
      <c r="F159" s="34">
        <f>D159*E159</f>
        <v>0</v>
      </c>
      <c r="G159" s="35">
        <f>F159*C4</f>
        <v>0</v>
      </c>
      <c r="H159" s="239"/>
      <c r="I159" s="239"/>
      <c r="J159" s="239"/>
      <c r="K159" s="239"/>
      <c r="L159" s="239"/>
      <c r="M159" s="239"/>
      <c r="N159" s="239"/>
      <c r="O159" s="239"/>
      <c r="P159" s="239"/>
      <c r="Q159" s="250"/>
      <c r="R159" s="261"/>
      <c r="S159" s="222">
        <f t="shared" si="8"/>
        <v>0</v>
      </c>
      <c r="T159" s="228">
        <f t="shared" si="9"/>
        <v>0</v>
      </c>
      <c r="U159" s="222">
        <f t="shared" si="10"/>
        <v>0</v>
      </c>
      <c r="V159" s="222">
        <f t="shared" si="11"/>
        <v>0</v>
      </c>
      <c r="W159" s="228">
        <f t="shared" si="12"/>
        <v>0</v>
      </c>
      <c r="X159" s="228"/>
      <c r="Y159" s="35"/>
    </row>
    <row r="160" spans="1:25" ht="15" hidden="1" customHeight="1" x14ac:dyDescent="0.25">
      <c r="A160" s="152" t="s">
        <v>247</v>
      </c>
      <c r="B160" s="110" t="s">
        <v>479</v>
      </c>
      <c r="C160" s="25"/>
      <c r="D160" s="405"/>
      <c r="E160" s="406"/>
      <c r="F160" s="34">
        <f>D160*E160</f>
        <v>0</v>
      </c>
      <c r="G160" s="35">
        <f>F160*C4</f>
        <v>0</v>
      </c>
      <c r="H160" s="239"/>
      <c r="I160" s="239"/>
      <c r="J160" s="239"/>
      <c r="K160" s="239"/>
      <c r="L160" s="239"/>
      <c r="M160" s="239"/>
      <c r="N160" s="239"/>
      <c r="O160" s="239"/>
      <c r="P160" s="239"/>
      <c r="Q160" s="250"/>
      <c r="R160" s="261"/>
      <c r="S160" s="222">
        <f t="shared" si="8"/>
        <v>0</v>
      </c>
      <c r="T160" s="228">
        <f t="shared" si="9"/>
        <v>0</v>
      </c>
      <c r="U160" s="222">
        <f t="shared" si="10"/>
        <v>0</v>
      </c>
      <c r="V160" s="222">
        <f t="shared" si="11"/>
        <v>0</v>
      </c>
      <c r="W160" s="228">
        <f t="shared" si="12"/>
        <v>0</v>
      </c>
      <c r="X160" s="228"/>
      <c r="Y160" s="35"/>
    </row>
    <row r="161" spans="1:25" ht="15" hidden="1" customHeight="1" x14ac:dyDescent="0.25">
      <c r="A161" s="152" t="s">
        <v>248</v>
      </c>
      <c r="B161" s="110" t="s">
        <v>480</v>
      </c>
      <c r="C161" s="25"/>
      <c r="D161" s="405"/>
      <c r="E161" s="406"/>
      <c r="F161" s="34">
        <f>D161*E161</f>
        <v>0</v>
      </c>
      <c r="G161" s="35">
        <f>F161*C4</f>
        <v>0</v>
      </c>
      <c r="H161" s="239"/>
      <c r="I161" s="239"/>
      <c r="J161" s="239"/>
      <c r="K161" s="239"/>
      <c r="L161" s="239"/>
      <c r="M161" s="239"/>
      <c r="N161" s="239"/>
      <c r="O161" s="239"/>
      <c r="P161" s="239"/>
      <c r="Q161" s="250"/>
      <c r="R161" s="261"/>
      <c r="S161" s="222">
        <f t="shared" si="8"/>
        <v>0</v>
      </c>
      <c r="T161" s="228">
        <f t="shared" si="9"/>
        <v>0</v>
      </c>
      <c r="U161" s="222">
        <f t="shared" si="10"/>
        <v>0</v>
      </c>
      <c r="V161" s="222">
        <f t="shared" si="11"/>
        <v>0</v>
      </c>
      <c r="W161" s="228">
        <f t="shared" si="12"/>
        <v>0</v>
      </c>
      <c r="X161" s="228"/>
      <c r="Y161" s="35"/>
    </row>
    <row r="162" spans="1:25" ht="15" hidden="1" customHeight="1" x14ac:dyDescent="0.25">
      <c r="A162" s="152" t="s">
        <v>249</v>
      </c>
      <c r="B162" s="110" t="s">
        <v>481</v>
      </c>
      <c r="C162" s="25"/>
      <c r="D162" s="405"/>
      <c r="E162" s="406"/>
      <c r="F162" s="34">
        <f>D162*E162</f>
        <v>0</v>
      </c>
      <c r="G162" s="35">
        <f>F162*C4</f>
        <v>0</v>
      </c>
      <c r="H162" s="239"/>
      <c r="I162" s="239"/>
      <c r="J162" s="239"/>
      <c r="K162" s="239"/>
      <c r="L162" s="239"/>
      <c r="M162" s="239"/>
      <c r="N162" s="239"/>
      <c r="O162" s="239"/>
      <c r="P162" s="239"/>
      <c r="Q162" s="250"/>
      <c r="R162" s="261"/>
      <c r="S162" s="222">
        <f t="shared" si="8"/>
        <v>0</v>
      </c>
      <c r="T162" s="228">
        <f t="shared" si="9"/>
        <v>0</v>
      </c>
      <c r="U162" s="222">
        <f t="shared" si="10"/>
        <v>0</v>
      </c>
      <c r="V162" s="222">
        <f t="shared" si="11"/>
        <v>0</v>
      </c>
      <c r="W162" s="228">
        <f t="shared" si="12"/>
        <v>0</v>
      </c>
      <c r="X162" s="228"/>
      <c r="Y162" s="35"/>
    </row>
    <row r="163" spans="1:25" ht="15" customHeight="1" x14ac:dyDescent="0.25">
      <c r="A163" s="74"/>
      <c r="B163" s="153"/>
      <c r="C163" s="26"/>
      <c r="D163" s="27"/>
      <c r="E163" s="28"/>
      <c r="F163" s="34"/>
      <c r="G163" s="35"/>
      <c r="H163" s="239"/>
      <c r="I163" s="239"/>
      <c r="J163" s="239"/>
      <c r="K163" s="239"/>
      <c r="L163" s="239"/>
      <c r="M163" s="239"/>
      <c r="N163" s="239"/>
      <c r="O163" s="239"/>
      <c r="P163" s="239"/>
      <c r="Q163" s="250"/>
      <c r="R163" s="256"/>
      <c r="S163" s="222"/>
      <c r="T163" s="228"/>
      <c r="U163" s="222"/>
      <c r="V163" s="222"/>
      <c r="W163" s="228"/>
      <c r="X163" s="228"/>
      <c r="Y163" s="35"/>
    </row>
    <row r="164" spans="1:25" ht="15" customHeight="1" thickBot="1" x14ac:dyDescent="0.3">
      <c r="A164" s="103"/>
      <c r="B164" s="150" t="s">
        <v>130</v>
      </c>
      <c r="C164" s="122"/>
      <c r="D164" s="126"/>
      <c r="E164" s="127"/>
      <c r="F164" s="36">
        <f>SUM(F103+F109+F115+F121+F127+F133+F139+F145+F151+F157)</f>
        <v>624625</v>
      </c>
      <c r="G164" s="36">
        <f>SUM(G103+G109+G115+G121+G127+G133+G139+G145+G151+G157)</f>
        <v>624625</v>
      </c>
      <c r="H164" s="241"/>
      <c r="I164" s="241"/>
      <c r="J164" s="241"/>
      <c r="K164" s="241"/>
      <c r="L164" s="241"/>
      <c r="M164" s="241"/>
      <c r="N164" s="241"/>
      <c r="O164" s="241"/>
      <c r="P164" s="241"/>
      <c r="Q164" s="252"/>
      <c r="R164" s="262"/>
      <c r="S164" s="234">
        <f t="shared" si="8"/>
        <v>-624625</v>
      </c>
      <c r="T164" s="235">
        <f t="shared" si="9"/>
        <v>-1</v>
      </c>
      <c r="U164" s="234">
        <f t="shared" si="10"/>
        <v>0</v>
      </c>
      <c r="V164" s="234">
        <f t="shared" si="11"/>
        <v>-624625</v>
      </c>
      <c r="W164" s="235">
        <f t="shared" si="12"/>
        <v>-1</v>
      </c>
      <c r="X164" s="235"/>
      <c r="Y164" s="35"/>
    </row>
    <row r="165" spans="1:25" ht="15" customHeight="1" thickTop="1" x14ac:dyDescent="0.25">
      <c r="A165" s="74"/>
      <c r="B165" s="35"/>
      <c r="C165" s="83"/>
      <c r="D165" s="75"/>
      <c r="E165" s="76"/>
      <c r="F165" s="77"/>
      <c r="G165" s="34"/>
      <c r="H165" s="242"/>
      <c r="I165" s="242"/>
      <c r="J165" s="242"/>
      <c r="K165" s="242"/>
      <c r="L165" s="242"/>
      <c r="M165" s="242"/>
      <c r="N165" s="242"/>
      <c r="O165" s="242"/>
      <c r="P165" s="242"/>
      <c r="Q165" s="253"/>
      <c r="R165" s="260"/>
      <c r="S165" s="222"/>
      <c r="T165" s="228"/>
      <c r="U165" s="222"/>
      <c r="V165" s="222"/>
      <c r="W165" s="228"/>
      <c r="X165" s="228"/>
      <c r="Y165" s="35"/>
    </row>
    <row r="166" spans="1:25" ht="15" customHeight="1" x14ac:dyDescent="0.25">
      <c r="A166" s="129">
        <v>3</v>
      </c>
      <c r="B166" s="130" t="s">
        <v>133</v>
      </c>
      <c r="C166" s="134"/>
      <c r="D166" s="133"/>
      <c r="E166" s="135"/>
      <c r="F166" s="135"/>
      <c r="G166" s="151"/>
      <c r="H166" s="238"/>
      <c r="I166" s="238"/>
      <c r="J166" s="238"/>
      <c r="K166" s="238"/>
      <c r="L166" s="238"/>
      <c r="M166" s="238"/>
      <c r="N166" s="238"/>
      <c r="O166" s="238"/>
      <c r="P166" s="238"/>
      <c r="Q166" s="251"/>
      <c r="R166" s="259"/>
      <c r="S166" s="227"/>
      <c r="T166" s="229"/>
      <c r="U166" s="227"/>
      <c r="V166" s="227"/>
      <c r="W166" s="229"/>
      <c r="X166" s="229"/>
      <c r="Y166" s="35"/>
    </row>
    <row r="167" spans="1:25" ht="15" customHeight="1" x14ac:dyDescent="0.25">
      <c r="A167" s="161" t="s">
        <v>138</v>
      </c>
      <c r="B167" s="144" t="s">
        <v>116</v>
      </c>
      <c r="C167" s="18"/>
      <c r="D167" s="22"/>
      <c r="E167" s="15"/>
      <c r="F167" s="3">
        <f>D167*E167</f>
        <v>0</v>
      </c>
      <c r="G167" s="37">
        <f>F167*C4</f>
        <v>0</v>
      </c>
      <c r="H167" s="239"/>
      <c r="I167" s="239"/>
      <c r="J167" s="239"/>
      <c r="K167" s="239"/>
      <c r="L167" s="239"/>
      <c r="M167" s="239"/>
      <c r="N167" s="239"/>
      <c r="O167" s="239"/>
      <c r="P167" s="239"/>
      <c r="Q167" s="250"/>
      <c r="R167" s="261"/>
      <c r="S167" s="222">
        <f t="shared" si="8"/>
        <v>0</v>
      </c>
      <c r="T167" s="228">
        <f t="shared" si="9"/>
        <v>0</v>
      </c>
      <c r="U167" s="222">
        <f t="shared" si="10"/>
        <v>0</v>
      </c>
      <c r="V167" s="222">
        <f t="shared" si="11"/>
        <v>0</v>
      </c>
      <c r="W167" s="228">
        <f t="shared" si="12"/>
        <v>0</v>
      </c>
      <c r="X167" s="228"/>
      <c r="Y167" s="35"/>
    </row>
    <row r="168" spans="1:25" ht="15" customHeight="1" x14ac:dyDescent="0.25">
      <c r="A168" s="161" t="s">
        <v>139</v>
      </c>
      <c r="B168" s="144" t="s">
        <v>52</v>
      </c>
      <c r="C168" s="18"/>
      <c r="D168" s="22"/>
      <c r="E168" s="15"/>
      <c r="F168" s="3">
        <f t="shared" ref="F168:F174" si="13">D168*E168</f>
        <v>0</v>
      </c>
      <c r="G168" s="37">
        <f>F168*C4</f>
        <v>0</v>
      </c>
      <c r="H168" s="239"/>
      <c r="I168" s="239"/>
      <c r="J168" s="239"/>
      <c r="K168" s="239"/>
      <c r="L168" s="239"/>
      <c r="M168" s="239"/>
      <c r="N168" s="239"/>
      <c r="O168" s="239"/>
      <c r="P168" s="239"/>
      <c r="Q168" s="250"/>
      <c r="R168" s="261"/>
      <c r="S168" s="222">
        <f t="shared" si="8"/>
        <v>0</v>
      </c>
      <c r="T168" s="228">
        <f t="shared" si="9"/>
        <v>0</v>
      </c>
      <c r="U168" s="222">
        <f t="shared" si="10"/>
        <v>0</v>
      </c>
      <c r="V168" s="222">
        <f t="shared" si="11"/>
        <v>0</v>
      </c>
      <c r="W168" s="228">
        <f t="shared" si="12"/>
        <v>0</v>
      </c>
      <c r="X168" s="228"/>
      <c r="Y168" s="35"/>
    </row>
    <row r="169" spans="1:25" ht="15" customHeight="1" x14ac:dyDescent="0.25">
      <c r="A169" s="161" t="s">
        <v>140</v>
      </c>
      <c r="B169" s="144" t="s">
        <v>112</v>
      </c>
      <c r="C169" s="342"/>
      <c r="D169" s="18"/>
      <c r="E169" s="22"/>
      <c r="F169" s="3">
        <f t="shared" si="13"/>
        <v>0</v>
      </c>
      <c r="G169" s="37">
        <f>F169*C4</f>
        <v>0</v>
      </c>
      <c r="H169" s="239"/>
      <c r="I169" s="239"/>
      <c r="J169" s="239"/>
      <c r="K169" s="239"/>
      <c r="L169" s="239"/>
      <c r="M169" s="239"/>
      <c r="N169" s="239"/>
      <c r="O169" s="239"/>
      <c r="P169" s="239"/>
      <c r="Q169" s="250"/>
      <c r="R169" s="261"/>
      <c r="S169" s="222">
        <f t="shared" si="8"/>
        <v>0</v>
      </c>
      <c r="T169" s="228">
        <f t="shared" si="9"/>
        <v>0</v>
      </c>
      <c r="U169" s="222">
        <f t="shared" si="10"/>
        <v>0</v>
      </c>
      <c r="V169" s="222">
        <f t="shared" si="11"/>
        <v>0</v>
      </c>
      <c r="W169" s="228">
        <f t="shared" si="12"/>
        <v>0</v>
      </c>
      <c r="X169" s="228"/>
      <c r="Y169" s="35"/>
    </row>
    <row r="170" spans="1:25" ht="15" customHeight="1" x14ac:dyDescent="0.25">
      <c r="A170" s="161" t="s">
        <v>141</v>
      </c>
      <c r="B170" s="144" t="s">
        <v>146</v>
      </c>
      <c r="C170" s="342"/>
      <c r="D170" s="18"/>
      <c r="E170" s="22"/>
      <c r="F170" s="3">
        <f t="shared" si="13"/>
        <v>0</v>
      </c>
      <c r="G170" s="37">
        <f>F170*C4</f>
        <v>0</v>
      </c>
      <c r="H170" s="239"/>
      <c r="I170" s="239"/>
      <c r="J170" s="239"/>
      <c r="K170" s="239"/>
      <c r="L170" s="239"/>
      <c r="M170" s="239"/>
      <c r="N170" s="239"/>
      <c r="O170" s="239"/>
      <c r="P170" s="239"/>
      <c r="Q170" s="250"/>
      <c r="R170" s="261"/>
      <c r="S170" s="222">
        <f t="shared" si="8"/>
        <v>0</v>
      </c>
      <c r="T170" s="228">
        <f t="shared" si="9"/>
        <v>0</v>
      </c>
      <c r="U170" s="222">
        <f t="shared" si="10"/>
        <v>0</v>
      </c>
      <c r="V170" s="222">
        <f t="shared" si="11"/>
        <v>0</v>
      </c>
      <c r="W170" s="228">
        <f t="shared" si="12"/>
        <v>0</v>
      </c>
      <c r="X170" s="228"/>
      <c r="Y170" s="35"/>
    </row>
    <row r="171" spans="1:25" ht="15" customHeight="1" x14ac:dyDescent="0.25">
      <c r="A171" s="161" t="s">
        <v>142</v>
      </c>
      <c r="B171" s="144" t="s">
        <v>147</v>
      </c>
      <c r="C171" s="342"/>
      <c r="D171" s="18"/>
      <c r="E171" s="22"/>
      <c r="F171" s="3">
        <f t="shared" si="13"/>
        <v>0</v>
      </c>
      <c r="G171" s="37">
        <f>F171*C4</f>
        <v>0</v>
      </c>
      <c r="H171" s="239"/>
      <c r="I171" s="239"/>
      <c r="J171" s="239"/>
      <c r="K171" s="239"/>
      <c r="L171" s="239"/>
      <c r="M171" s="239"/>
      <c r="N171" s="239"/>
      <c r="O171" s="239"/>
      <c r="P171" s="239"/>
      <c r="Q171" s="250"/>
      <c r="R171" s="261"/>
      <c r="S171" s="222">
        <f t="shared" si="8"/>
        <v>0</v>
      </c>
      <c r="T171" s="228">
        <f t="shared" si="9"/>
        <v>0</v>
      </c>
      <c r="U171" s="222">
        <f t="shared" si="10"/>
        <v>0</v>
      </c>
      <c r="V171" s="222">
        <f t="shared" si="11"/>
        <v>0</v>
      </c>
      <c r="W171" s="228">
        <f t="shared" si="12"/>
        <v>0</v>
      </c>
      <c r="X171" s="228"/>
      <c r="Y171" s="35"/>
    </row>
    <row r="172" spans="1:25" ht="15" customHeight="1" x14ac:dyDescent="0.25">
      <c r="A172" s="161" t="s">
        <v>143</v>
      </c>
      <c r="B172" s="144" t="s">
        <v>251</v>
      </c>
      <c r="C172" s="342" t="s">
        <v>482</v>
      </c>
      <c r="D172" s="18">
        <v>0</v>
      </c>
      <c r="E172" s="22">
        <v>5000</v>
      </c>
      <c r="F172" s="3">
        <f>D172*E172</f>
        <v>0</v>
      </c>
      <c r="G172" s="37">
        <f>F172*C4</f>
        <v>0</v>
      </c>
      <c r="H172" s="239"/>
      <c r="I172" s="239"/>
      <c r="J172" s="239"/>
      <c r="K172" s="239"/>
      <c r="L172" s="239"/>
      <c r="M172" s="239"/>
      <c r="N172" s="239"/>
      <c r="O172" s="239"/>
      <c r="P172" s="239"/>
      <c r="Q172" s="250"/>
      <c r="R172" s="261"/>
      <c r="S172" s="222">
        <f t="shared" si="8"/>
        <v>0</v>
      </c>
      <c r="T172" s="228">
        <f t="shared" si="9"/>
        <v>0</v>
      </c>
      <c r="U172" s="222">
        <f t="shared" si="10"/>
        <v>0</v>
      </c>
      <c r="V172" s="222">
        <f t="shared" si="11"/>
        <v>0</v>
      </c>
      <c r="W172" s="228">
        <f t="shared" si="12"/>
        <v>0</v>
      </c>
      <c r="X172" s="228"/>
      <c r="Y172" s="35"/>
    </row>
    <row r="173" spans="1:25" ht="15" customHeight="1" x14ac:dyDescent="0.25">
      <c r="A173" s="161" t="s">
        <v>144</v>
      </c>
      <c r="B173" s="144" t="s">
        <v>145</v>
      </c>
      <c r="C173" s="342" t="s">
        <v>482</v>
      </c>
      <c r="D173" s="18">
        <v>1</v>
      </c>
      <c r="E173" s="22">
        <v>500</v>
      </c>
      <c r="F173" s="3">
        <f t="shared" si="13"/>
        <v>500</v>
      </c>
      <c r="G173" s="37">
        <f>F173*C4</f>
        <v>500</v>
      </c>
      <c r="H173" s="239"/>
      <c r="I173" s="239"/>
      <c r="J173" s="239"/>
      <c r="K173" s="239"/>
      <c r="L173" s="239"/>
      <c r="M173" s="239"/>
      <c r="N173" s="239"/>
      <c r="O173" s="239"/>
      <c r="P173" s="239"/>
      <c r="Q173" s="250"/>
      <c r="R173" s="261"/>
      <c r="S173" s="222">
        <f t="shared" si="8"/>
        <v>-500</v>
      </c>
      <c r="T173" s="228">
        <f t="shared" si="9"/>
        <v>-1</v>
      </c>
      <c r="U173" s="222">
        <f t="shared" si="10"/>
        <v>0</v>
      </c>
      <c r="V173" s="222">
        <f t="shared" si="11"/>
        <v>-500</v>
      </c>
      <c r="W173" s="228">
        <f t="shared" si="12"/>
        <v>-1</v>
      </c>
      <c r="X173" s="228"/>
      <c r="Y173" s="35"/>
    </row>
    <row r="174" spans="1:25" ht="15" customHeight="1" x14ac:dyDescent="0.25">
      <c r="A174" s="161" t="s">
        <v>250</v>
      </c>
      <c r="B174" s="144" t="s">
        <v>171</v>
      </c>
      <c r="C174" s="342" t="s">
        <v>482</v>
      </c>
      <c r="D174" s="18">
        <v>1</v>
      </c>
      <c r="E174" s="22">
        <v>7000</v>
      </c>
      <c r="F174" s="3">
        <f t="shared" si="13"/>
        <v>7000</v>
      </c>
      <c r="G174" s="37">
        <f>F174*C4</f>
        <v>7000</v>
      </c>
      <c r="H174" s="239"/>
      <c r="I174" s="239"/>
      <c r="J174" s="239"/>
      <c r="K174" s="239"/>
      <c r="L174" s="239"/>
      <c r="M174" s="239"/>
      <c r="N174" s="239"/>
      <c r="O174" s="239"/>
      <c r="P174" s="239"/>
      <c r="Q174" s="250"/>
      <c r="R174" s="261"/>
      <c r="S174" s="222">
        <f t="shared" si="8"/>
        <v>-7000</v>
      </c>
      <c r="T174" s="228">
        <f t="shared" si="9"/>
        <v>-1</v>
      </c>
      <c r="U174" s="222">
        <f t="shared" si="10"/>
        <v>0</v>
      </c>
      <c r="V174" s="222">
        <f t="shared" si="11"/>
        <v>-7000</v>
      </c>
      <c r="W174" s="228">
        <f t="shared" si="12"/>
        <v>-1</v>
      </c>
      <c r="X174" s="228"/>
      <c r="Y174" s="35"/>
    </row>
    <row r="175" spans="1:25" ht="15" customHeight="1" x14ac:dyDescent="0.25">
      <c r="A175" s="74"/>
      <c r="B175" s="113"/>
      <c r="C175" s="83"/>
      <c r="D175" s="75"/>
      <c r="E175" s="76"/>
      <c r="F175" s="77"/>
      <c r="G175" s="34"/>
      <c r="H175" s="242"/>
      <c r="I175" s="242"/>
      <c r="J175" s="242"/>
      <c r="K175" s="242"/>
      <c r="L175" s="242"/>
      <c r="M175" s="242"/>
      <c r="N175" s="242"/>
      <c r="O175" s="242"/>
      <c r="P175" s="242"/>
      <c r="Q175" s="253"/>
      <c r="R175" s="260"/>
      <c r="S175" s="222"/>
      <c r="T175" s="228"/>
      <c r="U175" s="222"/>
      <c r="V175" s="222"/>
      <c r="W175" s="228"/>
      <c r="X175" s="228"/>
      <c r="Y175" s="35"/>
    </row>
    <row r="176" spans="1:25" ht="15" customHeight="1" thickBot="1" x14ac:dyDescent="0.3">
      <c r="A176" s="103"/>
      <c r="B176" s="150" t="s">
        <v>114</v>
      </c>
      <c r="C176" s="122"/>
      <c r="D176" s="126"/>
      <c r="E176" s="127"/>
      <c r="F176" s="36">
        <f>SUM(F167:F174)</f>
        <v>7500</v>
      </c>
      <c r="G176" s="36">
        <f>SUM(G167:G174)</f>
        <v>7500</v>
      </c>
      <c r="H176" s="241"/>
      <c r="I176" s="241"/>
      <c r="J176" s="241"/>
      <c r="K176" s="241"/>
      <c r="L176" s="241"/>
      <c r="M176" s="241"/>
      <c r="N176" s="241"/>
      <c r="O176" s="241"/>
      <c r="P176" s="241"/>
      <c r="Q176" s="252"/>
      <c r="R176" s="262"/>
      <c r="S176" s="234">
        <f t="shared" si="8"/>
        <v>-7500</v>
      </c>
      <c r="T176" s="235">
        <f t="shared" si="9"/>
        <v>-1</v>
      </c>
      <c r="U176" s="234">
        <f t="shared" si="10"/>
        <v>0</v>
      </c>
      <c r="V176" s="234">
        <f t="shared" si="11"/>
        <v>-7500</v>
      </c>
      <c r="W176" s="235">
        <f t="shared" si="12"/>
        <v>-1</v>
      </c>
      <c r="X176" s="235"/>
      <c r="Y176" s="35"/>
    </row>
    <row r="177" spans="1:25" ht="15" customHeight="1" thickTop="1" x14ac:dyDescent="0.25">
      <c r="A177" s="74"/>
      <c r="B177" s="81"/>
      <c r="C177" s="166"/>
      <c r="D177" s="165"/>
      <c r="E177" s="78"/>
      <c r="F177" s="34"/>
      <c r="G177" s="1"/>
      <c r="H177" s="239"/>
      <c r="I177" s="239"/>
      <c r="J177" s="239"/>
      <c r="K177" s="239"/>
      <c r="L177" s="239"/>
      <c r="M177" s="239"/>
      <c r="N177" s="239"/>
      <c r="O177" s="239"/>
      <c r="P177" s="239"/>
      <c r="Q177" s="250"/>
      <c r="R177" s="256"/>
      <c r="S177" s="222"/>
      <c r="T177" s="228"/>
      <c r="U177" s="222"/>
      <c r="V177" s="222"/>
      <c r="W177" s="228"/>
      <c r="X177" s="228"/>
      <c r="Y177" s="35"/>
    </row>
    <row r="178" spans="1:25" ht="15" customHeight="1" x14ac:dyDescent="0.25">
      <c r="A178" s="129">
        <v>4</v>
      </c>
      <c r="B178" s="130" t="s">
        <v>113</v>
      </c>
      <c r="C178" s="134"/>
      <c r="D178" s="133"/>
      <c r="E178" s="135"/>
      <c r="F178" s="135"/>
      <c r="G178" s="151"/>
      <c r="H178" s="238"/>
      <c r="I178" s="238"/>
      <c r="J178" s="238"/>
      <c r="K178" s="238"/>
      <c r="L178" s="238"/>
      <c r="M178" s="238"/>
      <c r="N178" s="238"/>
      <c r="O178" s="238"/>
      <c r="P178" s="238"/>
      <c r="Q178" s="251"/>
      <c r="R178" s="259"/>
      <c r="S178" s="227"/>
      <c r="T178" s="229"/>
      <c r="U178" s="227"/>
      <c r="V178" s="227"/>
      <c r="W178" s="229"/>
      <c r="X178" s="229"/>
      <c r="Y178" s="35"/>
    </row>
    <row r="179" spans="1:25" ht="15" customHeight="1" x14ac:dyDescent="0.25">
      <c r="A179" s="74" t="s">
        <v>19</v>
      </c>
      <c r="B179" s="81"/>
      <c r="C179" s="166"/>
      <c r="D179" s="165"/>
      <c r="E179" s="78"/>
      <c r="F179" s="34"/>
      <c r="G179" s="1"/>
      <c r="H179" s="239"/>
      <c r="I179" s="239"/>
      <c r="J179" s="239"/>
      <c r="K179" s="239"/>
      <c r="L179" s="239"/>
      <c r="M179" s="239"/>
      <c r="N179" s="239"/>
      <c r="O179" s="239"/>
      <c r="P179" s="239"/>
      <c r="Q179" s="250"/>
      <c r="R179" s="256"/>
      <c r="S179" s="222"/>
      <c r="T179" s="228"/>
      <c r="U179" s="222"/>
      <c r="V179" s="222"/>
      <c r="W179" s="228"/>
      <c r="X179" s="228"/>
      <c r="Y179" s="35"/>
    </row>
    <row r="180" spans="1:25" ht="15" customHeight="1" x14ac:dyDescent="0.25">
      <c r="A180" s="81" t="s">
        <v>148</v>
      </c>
      <c r="B180" s="167" t="s">
        <v>48</v>
      </c>
      <c r="C180" s="18"/>
      <c r="D180" s="22"/>
      <c r="E180" s="15"/>
      <c r="F180" s="34">
        <f>D180*E180</f>
        <v>0</v>
      </c>
      <c r="G180" s="1">
        <f>F180*C4</f>
        <v>0</v>
      </c>
      <c r="H180" s="239"/>
      <c r="I180" s="239"/>
      <c r="J180" s="239"/>
      <c r="K180" s="239"/>
      <c r="L180" s="239"/>
      <c r="M180" s="239"/>
      <c r="N180" s="239"/>
      <c r="O180" s="239"/>
      <c r="P180" s="239"/>
      <c r="Q180" s="250"/>
      <c r="R180" s="261"/>
      <c r="S180" s="222">
        <f t="shared" si="8"/>
        <v>0</v>
      </c>
      <c r="T180" s="228">
        <f t="shared" si="9"/>
        <v>0</v>
      </c>
      <c r="U180" s="222">
        <f t="shared" si="10"/>
        <v>0</v>
      </c>
      <c r="V180" s="222">
        <f t="shared" si="11"/>
        <v>0</v>
      </c>
      <c r="W180" s="228">
        <f t="shared" si="12"/>
        <v>0</v>
      </c>
      <c r="X180" s="228"/>
      <c r="Y180" s="35"/>
    </row>
    <row r="181" spans="1:25" ht="15" customHeight="1" x14ac:dyDescent="0.25">
      <c r="A181" s="81" t="s">
        <v>149</v>
      </c>
      <c r="B181" s="167" t="s">
        <v>49</v>
      </c>
      <c r="C181" s="18"/>
      <c r="D181" s="22"/>
      <c r="E181" s="15"/>
      <c r="F181" s="34">
        <f>D181*E181</f>
        <v>0</v>
      </c>
      <c r="G181" s="1">
        <f>F181*C4</f>
        <v>0</v>
      </c>
      <c r="H181" s="239"/>
      <c r="I181" s="239"/>
      <c r="J181" s="239"/>
      <c r="K181" s="239"/>
      <c r="L181" s="239"/>
      <c r="M181" s="239"/>
      <c r="N181" s="239"/>
      <c r="O181" s="239"/>
      <c r="P181" s="239"/>
      <c r="Q181" s="250"/>
      <c r="R181" s="261"/>
      <c r="S181" s="222">
        <f t="shared" si="8"/>
        <v>0</v>
      </c>
      <c r="T181" s="228">
        <f t="shared" si="9"/>
        <v>0</v>
      </c>
      <c r="U181" s="222">
        <f t="shared" si="10"/>
        <v>0</v>
      </c>
      <c r="V181" s="222">
        <f t="shared" si="11"/>
        <v>0</v>
      </c>
      <c r="W181" s="228">
        <f t="shared" si="12"/>
        <v>0</v>
      </c>
      <c r="X181" s="228"/>
      <c r="Y181" s="35"/>
    </row>
    <row r="182" spans="1:25" ht="15" customHeight="1" x14ac:dyDescent="0.25">
      <c r="A182" s="74" t="s">
        <v>7</v>
      </c>
      <c r="B182" s="141"/>
      <c r="C182" s="19"/>
      <c r="D182" s="30"/>
      <c r="E182" s="11"/>
      <c r="F182" s="34"/>
      <c r="G182" s="1"/>
      <c r="H182" s="239"/>
      <c r="I182" s="239"/>
      <c r="J182" s="239"/>
      <c r="K182" s="239"/>
      <c r="L182" s="239"/>
      <c r="M182" s="239"/>
      <c r="N182" s="239"/>
      <c r="O182" s="239"/>
      <c r="P182" s="239"/>
      <c r="Q182" s="250"/>
      <c r="R182" s="256"/>
      <c r="S182" s="222"/>
      <c r="T182" s="228"/>
      <c r="U182" s="222"/>
      <c r="V182" s="222"/>
      <c r="W182" s="228"/>
      <c r="X182" s="228"/>
      <c r="Y182" s="35"/>
    </row>
    <row r="183" spans="1:25" ht="15" customHeight="1" x14ac:dyDescent="0.25">
      <c r="A183" s="81" t="s">
        <v>150</v>
      </c>
      <c r="B183" s="167" t="s">
        <v>50</v>
      </c>
      <c r="C183" s="18"/>
      <c r="D183" s="22"/>
      <c r="E183" s="15"/>
      <c r="F183" s="34">
        <f>D183*E183</f>
        <v>0</v>
      </c>
      <c r="G183" s="35">
        <f>F183*C4</f>
        <v>0</v>
      </c>
      <c r="H183" s="239"/>
      <c r="I183" s="239"/>
      <c r="J183" s="239"/>
      <c r="K183" s="239"/>
      <c r="L183" s="239"/>
      <c r="M183" s="239"/>
      <c r="N183" s="239"/>
      <c r="O183" s="239"/>
      <c r="P183" s="239"/>
      <c r="Q183" s="250"/>
      <c r="R183" s="261"/>
      <c r="S183" s="222">
        <f t="shared" si="8"/>
        <v>0</v>
      </c>
      <c r="T183" s="228">
        <f t="shared" si="9"/>
        <v>0</v>
      </c>
      <c r="U183" s="222">
        <f t="shared" si="10"/>
        <v>0</v>
      </c>
      <c r="V183" s="222">
        <f t="shared" si="11"/>
        <v>0</v>
      </c>
      <c r="W183" s="228">
        <f t="shared" si="12"/>
        <v>0</v>
      </c>
      <c r="X183" s="228"/>
      <c r="Y183" s="35"/>
    </row>
    <row r="184" spans="1:25" ht="15" customHeight="1" x14ac:dyDescent="0.25">
      <c r="A184" s="81" t="s">
        <v>151</v>
      </c>
      <c r="B184" s="141" t="s">
        <v>51</v>
      </c>
      <c r="C184" s="18"/>
      <c r="D184" s="22"/>
      <c r="E184" s="15"/>
      <c r="F184" s="34">
        <f>D184*E184</f>
        <v>0</v>
      </c>
      <c r="G184" s="35">
        <f>F184*C4</f>
        <v>0</v>
      </c>
      <c r="H184" s="239"/>
      <c r="I184" s="239"/>
      <c r="J184" s="239"/>
      <c r="K184" s="239"/>
      <c r="L184" s="239"/>
      <c r="M184" s="239"/>
      <c r="N184" s="239"/>
      <c r="O184" s="239"/>
      <c r="P184" s="239"/>
      <c r="Q184" s="250"/>
      <c r="R184" s="261"/>
      <c r="S184" s="222">
        <f t="shared" si="8"/>
        <v>0</v>
      </c>
      <c r="T184" s="228">
        <f t="shared" si="9"/>
        <v>0</v>
      </c>
      <c r="U184" s="222">
        <f t="shared" si="10"/>
        <v>0</v>
      </c>
      <c r="V184" s="222">
        <f t="shared" si="11"/>
        <v>0</v>
      </c>
      <c r="W184" s="228">
        <f t="shared" si="12"/>
        <v>0</v>
      </c>
      <c r="X184" s="228"/>
      <c r="Y184" s="35"/>
    </row>
    <row r="185" spans="1:25" ht="15" customHeight="1" x14ac:dyDescent="0.25">
      <c r="A185" s="74" t="s">
        <v>8</v>
      </c>
      <c r="B185" s="141"/>
      <c r="C185" s="38"/>
      <c r="D185" s="20"/>
      <c r="E185" s="21"/>
      <c r="F185" s="34"/>
      <c r="G185" s="1"/>
      <c r="H185" s="239"/>
      <c r="I185" s="239"/>
      <c r="J185" s="239"/>
      <c r="K185" s="239"/>
      <c r="L185" s="239"/>
      <c r="M185" s="239"/>
      <c r="N185" s="239"/>
      <c r="O185" s="239"/>
      <c r="P185" s="239"/>
      <c r="Q185" s="250"/>
      <c r="R185" s="256"/>
      <c r="S185" s="222"/>
      <c r="T185" s="228"/>
      <c r="U185" s="222"/>
      <c r="V185" s="222"/>
      <c r="W185" s="228"/>
      <c r="X185" s="228"/>
      <c r="Y185" s="35"/>
    </row>
    <row r="186" spans="1:25" ht="15" customHeight="1" x14ac:dyDescent="0.25">
      <c r="A186" s="81" t="s">
        <v>156</v>
      </c>
      <c r="B186" s="144" t="s">
        <v>187</v>
      </c>
      <c r="C186" s="18" t="s">
        <v>432</v>
      </c>
      <c r="D186" s="22">
        <v>12</v>
      </c>
      <c r="E186" s="15">
        <f>520*50%</f>
        <v>260</v>
      </c>
      <c r="F186" s="34">
        <f>D186*E186</f>
        <v>3120</v>
      </c>
      <c r="G186" s="1">
        <f>F186*C4</f>
        <v>3120</v>
      </c>
      <c r="H186" s="239"/>
      <c r="I186" s="239"/>
      <c r="J186" s="239"/>
      <c r="K186" s="239"/>
      <c r="L186" s="239"/>
      <c r="M186" s="239"/>
      <c r="N186" s="239"/>
      <c r="O186" s="239"/>
      <c r="P186" s="239"/>
      <c r="Q186" s="250"/>
      <c r="R186" s="261"/>
      <c r="S186" s="222">
        <f t="shared" si="8"/>
        <v>-3120</v>
      </c>
      <c r="T186" s="228">
        <f t="shared" si="9"/>
        <v>-1</v>
      </c>
      <c r="U186" s="222">
        <f t="shared" si="10"/>
        <v>0</v>
      </c>
      <c r="V186" s="222">
        <f t="shared" si="11"/>
        <v>-3120</v>
      </c>
      <c r="W186" s="228">
        <f t="shared" si="12"/>
        <v>-1</v>
      </c>
      <c r="X186" s="228"/>
      <c r="Y186" s="35"/>
    </row>
    <row r="187" spans="1:25" ht="15" customHeight="1" x14ac:dyDescent="0.25">
      <c r="A187" s="81" t="s">
        <v>152</v>
      </c>
      <c r="B187" s="153" t="s">
        <v>54</v>
      </c>
      <c r="C187" s="18"/>
      <c r="D187" s="22"/>
      <c r="E187" s="15"/>
      <c r="F187" s="34">
        <f>D187*E187</f>
        <v>0</v>
      </c>
      <c r="G187" s="1">
        <f>F187*C4</f>
        <v>0</v>
      </c>
      <c r="H187" s="239"/>
      <c r="I187" s="239"/>
      <c r="J187" s="239"/>
      <c r="K187" s="239"/>
      <c r="L187" s="239"/>
      <c r="M187" s="239"/>
      <c r="N187" s="239"/>
      <c r="O187" s="239"/>
      <c r="P187" s="239"/>
      <c r="Q187" s="250"/>
      <c r="R187" s="261"/>
      <c r="S187" s="222">
        <f t="shared" si="8"/>
        <v>0</v>
      </c>
      <c r="T187" s="228">
        <f t="shared" si="9"/>
        <v>0</v>
      </c>
      <c r="U187" s="222">
        <f t="shared" si="10"/>
        <v>0</v>
      </c>
      <c r="V187" s="222">
        <f t="shared" si="11"/>
        <v>0</v>
      </c>
      <c r="W187" s="228">
        <f t="shared" si="12"/>
        <v>0</v>
      </c>
      <c r="X187" s="228"/>
      <c r="Y187" s="35"/>
    </row>
    <row r="188" spans="1:25" ht="15" customHeight="1" x14ac:dyDescent="0.25">
      <c r="A188" s="81" t="s">
        <v>153</v>
      </c>
      <c r="B188" s="153" t="s">
        <v>55</v>
      </c>
      <c r="C188" s="18" t="s">
        <v>432</v>
      </c>
      <c r="D188" s="22">
        <v>12</v>
      </c>
      <c r="E188" s="15">
        <f>375*50%</f>
        <v>187.5</v>
      </c>
      <c r="F188" s="34">
        <f>D188*E188</f>
        <v>2250</v>
      </c>
      <c r="G188" s="1">
        <f>F188*C4</f>
        <v>2250</v>
      </c>
      <c r="H188" s="239"/>
      <c r="I188" s="239"/>
      <c r="J188" s="239"/>
      <c r="K188" s="239"/>
      <c r="L188" s="239"/>
      <c r="M188" s="239"/>
      <c r="N188" s="239"/>
      <c r="O188" s="239"/>
      <c r="P188" s="239"/>
      <c r="Q188" s="250"/>
      <c r="R188" s="261"/>
      <c r="S188" s="222">
        <f t="shared" si="8"/>
        <v>-2250</v>
      </c>
      <c r="T188" s="228">
        <f t="shared" si="9"/>
        <v>-1</v>
      </c>
      <c r="U188" s="222">
        <f t="shared" si="10"/>
        <v>0</v>
      </c>
      <c r="V188" s="222">
        <f t="shared" si="11"/>
        <v>-2250</v>
      </c>
      <c r="W188" s="228">
        <f t="shared" si="12"/>
        <v>-1</v>
      </c>
      <c r="X188" s="228"/>
      <c r="Y188" s="35"/>
    </row>
    <row r="189" spans="1:25" ht="15" customHeight="1" x14ac:dyDescent="0.25">
      <c r="A189" s="81" t="s">
        <v>154</v>
      </c>
      <c r="B189" s="153" t="s">
        <v>131</v>
      </c>
      <c r="C189" s="18" t="s">
        <v>432</v>
      </c>
      <c r="D189" s="22">
        <v>12</v>
      </c>
      <c r="E189" s="407">
        <v>250</v>
      </c>
      <c r="F189" s="34">
        <f>D189*E189</f>
        <v>3000</v>
      </c>
      <c r="G189" s="1">
        <f>F189*C4</f>
        <v>3000</v>
      </c>
      <c r="H189" s="239"/>
      <c r="I189" s="239"/>
      <c r="J189" s="239"/>
      <c r="K189" s="239"/>
      <c r="L189" s="239"/>
      <c r="M189" s="239"/>
      <c r="N189" s="239"/>
      <c r="O189" s="239"/>
      <c r="P189" s="239"/>
      <c r="Q189" s="250"/>
      <c r="R189" s="261"/>
      <c r="S189" s="222">
        <f t="shared" si="8"/>
        <v>-3000</v>
      </c>
      <c r="T189" s="228">
        <f t="shared" si="9"/>
        <v>-1</v>
      </c>
      <c r="U189" s="222">
        <f t="shared" si="10"/>
        <v>0</v>
      </c>
      <c r="V189" s="222">
        <f t="shared" si="11"/>
        <v>-3000</v>
      </c>
      <c r="W189" s="228">
        <f t="shared" si="12"/>
        <v>-1</v>
      </c>
      <c r="X189" s="228"/>
      <c r="Y189" s="35"/>
    </row>
    <row r="190" spans="1:25" ht="15" customHeight="1" x14ac:dyDescent="0.25">
      <c r="A190" s="81" t="s">
        <v>155</v>
      </c>
      <c r="B190" s="153" t="s">
        <v>132</v>
      </c>
      <c r="C190" s="18"/>
      <c r="D190" s="22"/>
      <c r="E190" s="407"/>
      <c r="F190" s="34">
        <f>D190*E190</f>
        <v>0</v>
      </c>
      <c r="G190" s="1">
        <f>F190*C4</f>
        <v>0</v>
      </c>
      <c r="H190" s="239"/>
      <c r="I190" s="239"/>
      <c r="J190" s="239"/>
      <c r="K190" s="239"/>
      <c r="L190" s="239"/>
      <c r="M190" s="239"/>
      <c r="N190" s="239"/>
      <c r="O190" s="239"/>
      <c r="P190" s="239"/>
      <c r="Q190" s="250"/>
      <c r="R190" s="261"/>
      <c r="S190" s="222">
        <f t="shared" si="8"/>
        <v>0</v>
      </c>
      <c r="T190" s="228">
        <f t="shared" si="9"/>
        <v>0</v>
      </c>
      <c r="U190" s="222">
        <f t="shared" si="10"/>
        <v>0</v>
      </c>
      <c r="V190" s="222">
        <f t="shared" si="11"/>
        <v>0</v>
      </c>
      <c r="W190" s="228">
        <f t="shared" si="12"/>
        <v>0</v>
      </c>
      <c r="X190" s="228"/>
      <c r="Y190" s="35"/>
    </row>
    <row r="191" spans="1:25" ht="15" customHeight="1" x14ac:dyDescent="0.25">
      <c r="A191" s="74"/>
      <c r="B191" s="35"/>
      <c r="C191" s="5"/>
      <c r="D191" s="5"/>
      <c r="E191" s="5"/>
      <c r="F191" s="172"/>
      <c r="G191" s="35"/>
      <c r="H191" s="239"/>
      <c r="I191" s="239"/>
      <c r="J191" s="239"/>
      <c r="K191" s="239"/>
      <c r="L191" s="239"/>
      <c r="M191" s="239"/>
      <c r="N191" s="239"/>
      <c r="O191" s="239"/>
      <c r="P191" s="239"/>
      <c r="Q191" s="250"/>
      <c r="R191" s="256"/>
      <c r="S191" s="222"/>
      <c r="T191" s="228"/>
      <c r="U191" s="222"/>
      <c r="V191" s="222"/>
      <c r="W191" s="228"/>
      <c r="X191" s="228"/>
      <c r="Y191" s="35"/>
    </row>
    <row r="192" spans="1:25" ht="15" hidden="1" customHeight="1" x14ac:dyDescent="0.25">
      <c r="A192" s="203"/>
      <c r="B192" s="204" t="s">
        <v>194</v>
      </c>
      <c r="C192" s="204"/>
      <c r="D192" s="204"/>
      <c r="E192" s="204"/>
      <c r="F192" s="205">
        <f>SUM(F180:F182)</f>
        <v>0</v>
      </c>
      <c r="G192" s="204">
        <f>SUM(G180:G182)</f>
        <v>0</v>
      </c>
      <c r="H192" s="239"/>
      <c r="I192" s="239"/>
      <c r="J192" s="239"/>
      <c r="K192" s="239"/>
      <c r="L192" s="239"/>
      <c r="M192" s="239"/>
      <c r="N192" s="239"/>
      <c r="O192" s="239"/>
      <c r="P192" s="239"/>
      <c r="Q192" s="250"/>
      <c r="R192" s="256"/>
      <c r="S192" s="222">
        <f t="shared" si="8"/>
        <v>0</v>
      </c>
      <c r="T192" s="228">
        <f t="shared" si="9"/>
        <v>0</v>
      </c>
      <c r="U192" s="222">
        <f t="shared" si="10"/>
        <v>0</v>
      </c>
      <c r="V192" s="222">
        <f t="shared" si="11"/>
        <v>0</v>
      </c>
      <c r="W192" s="228">
        <f t="shared" si="12"/>
        <v>0</v>
      </c>
      <c r="X192" s="228"/>
      <c r="Y192" s="35"/>
    </row>
    <row r="193" spans="1:25" ht="15" hidden="1" customHeight="1" x14ac:dyDescent="0.25">
      <c r="A193" s="203"/>
      <c r="B193" s="204" t="s">
        <v>7</v>
      </c>
      <c r="C193" s="204"/>
      <c r="D193" s="204"/>
      <c r="E193" s="204"/>
      <c r="F193" s="205">
        <f>SUM(F183:F185)</f>
        <v>0</v>
      </c>
      <c r="G193" s="204">
        <f>SUM(G183:G185)</f>
        <v>0</v>
      </c>
      <c r="H193" s="239"/>
      <c r="I193" s="239"/>
      <c r="J193" s="239"/>
      <c r="K193" s="239"/>
      <c r="L193" s="239"/>
      <c r="M193" s="239"/>
      <c r="N193" s="239"/>
      <c r="O193" s="239"/>
      <c r="P193" s="239"/>
      <c r="Q193" s="250"/>
      <c r="R193" s="256"/>
      <c r="S193" s="222">
        <f t="shared" si="8"/>
        <v>0</v>
      </c>
      <c r="T193" s="228">
        <f t="shared" si="9"/>
        <v>0</v>
      </c>
      <c r="U193" s="222">
        <f t="shared" si="10"/>
        <v>0</v>
      </c>
      <c r="V193" s="222">
        <f t="shared" si="11"/>
        <v>0</v>
      </c>
      <c r="W193" s="228">
        <f t="shared" si="12"/>
        <v>0</v>
      </c>
      <c r="X193" s="228"/>
      <c r="Y193" s="35"/>
    </row>
    <row r="194" spans="1:25" ht="15" hidden="1" customHeight="1" x14ac:dyDescent="0.25">
      <c r="A194" s="203"/>
      <c r="B194" s="204" t="s">
        <v>8</v>
      </c>
      <c r="C194" s="204"/>
      <c r="D194" s="204"/>
      <c r="E194" s="204"/>
      <c r="F194" s="205">
        <f>SUM(F186:F191)</f>
        <v>8370</v>
      </c>
      <c r="G194" s="204">
        <f>SUM(G186:G191)</f>
        <v>8370</v>
      </c>
      <c r="H194" s="239"/>
      <c r="I194" s="239"/>
      <c r="J194" s="239"/>
      <c r="K194" s="239"/>
      <c r="L194" s="239"/>
      <c r="M194" s="239"/>
      <c r="N194" s="239"/>
      <c r="O194" s="239"/>
      <c r="P194" s="239"/>
      <c r="Q194" s="250"/>
      <c r="R194" s="256"/>
      <c r="S194" s="222">
        <f t="shared" si="8"/>
        <v>-8370</v>
      </c>
      <c r="T194" s="228">
        <f t="shared" si="9"/>
        <v>-1</v>
      </c>
      <c r="U194" s="222">
        <f t="shared" si="10"/>
        <v>0</v>
      </c>
      <c r="V194" s="222">
        <f t="shared" si="11"/>
        <v>-8370</v>
      </c>
      <c r="W194" s="228">
        <f t="shared" si="12"/>
        <v>-1</v>
      </c>
      <c r="X194" s="228"/>
      <c r="Y194" s="35"/>
    </row>
    <row r="195" spans="1:25" ht="15" customHeight="1" thickBot="1" x14ac:dyDescent="0.3">
      <c r="A195" s="103"/>
      <c r="B195" s="150" t="s">
        <v>115</v>
      </c>
      <c r="C195" s="122"/>
      <c r="D195" s="126"/>
      <c r="E195" s="127"/>
      <c r="F195" s="36">
        <f>SUM(F186:F194)</f>
        <v>16740</v>
      </c>
      <c r="G195" s="36">
        <f>SUM(G186:G194)</f>
        <v>16740</v>
      </c>
      <c r="H195" s="241"/>
      <c r="I195" s="241"/>
      <c r="J195" s="241"/>
      <c r="K195" s="241"/>
      <c r="L195" s="241"/>
      <c r="M195" s="241"/>
      <c r="N195" s="241"/>
      <c r="O195" s="241"/>
      <c r="P195" s="241"/>
      <c r="Q195" s="252"/>
      <c r="R195" s="262"/>
      <c r="S195" s="234">
        <f t="shared" si="8"/>
        <v>-16740</v>
      </c>
      <c r="T195" s="235">
        <f t="shared" si="9"/>
        <v>-1</v>
      </c>
      <c r="U195" s="234">
        <f t="shared" si="10"/>
        <v>0</v>
      </c>
      <c r="V195" s="234">
        <f t="shared" si="11"/>
        <v>-16740</v>
      </c>
      <c r="W195" s="235">
        <f t="shared" si="12"/>
        <v>-1</v>
      </c>
      <c r="X195" s="235"/>
      <c r="Y195" s="35"/>
    </row>
    <row r="196" spans="1:25" ht="15" customHeight="1" thickTop="1" x14ac:dyDescent="0.25">
      <c r="A196" s="103"/>
      <c r="B196" s="150"/>
      <c r="C196" s="122"/>
      <c r="D196" s="126"/>
      <c r="E196" s="127"/>
      <c r="F196" s="173"/>
      <c r="G196" s="173"/>
      <c r="H196" s="241"/>
      <c r="I196" s="241"/>
      <c r="J196" s="241"/>
      <c r="K196" s="241"/>
      <c r="L196" s="241"/>
      <c r="M196" s="241"/>
      <c r="N196" s="241"/>
      <c r="O196" s="241"/>
      <c r="P196" s="241"/>
      <c r="Q196" s="252"/>
      <c r="R196" s="258"/>
      <c r="S196" s="222"/>
      <c r="T196" s="228"/>
      <c r="U196" s="222"/>
      <c r="V196" s="222"/>
      <c r="W196" s="228"/>
      <c r="X196" s="228"/>
      <c r="Y196" s="35"/>
    </row>
    <row r="197" spans="1:25" ht="15" customHeight="1" x14ac:dyDescent="0.25">
      <c r="A197" s="129">
        <v>5</v>
      </c>
      <c r="B197" s="130" t="s">
        <v>117</v>
      </c>
      <c r="C197" s="134"/>
      <c r="D197" s="133"/>
      <c r="E197" s="135"/>
      <c r="F197" s="135"/>
      <c r="G197" s="151"/>
      <c r="H197" s="238"/>
      <c r="I197" s="238"/>
      <c r="J197" s="238"/>
      <c r="K197" s="238"/>
      <c r="L197" s="238"/>
      <c r="M197" s="238"/>
      <c r="N197" s="238"/>
      <c r="O197" s="238"/>
      <c r="P197" s="238"/>
      <c r="Q197" s="251"/>
      <c r="R197" s="259"/>
      <c r="S197" s="227"/>
      <c r="T197" s="229"/>
      <c r="U197" s="227"/>
      <c r="V197" s="227"/>
      <c r="W197" s="229"/>
      <c r="X197" s="229"/>
      <c r="Y197" s="35"/>
    </row>
    <row r="198" spans="1:25" ht="15" customHeight="1" x14ac:dyDescent="0.25">
      <c r="A198" s="81" t="s">
        <v>157</v>
      </c>
      <c r="B198" s="167" t="s">
        <v>11</v>
      </c>
      <c r="C198" s="18" t="s">
        <v>483</v>
      </c>
      <c r="D198" s="22">
        <v>2</v>
      </c>
      <c r="E198" s="15">
        <v>600</v>
      </c>
      <c r="F198" s="34">
        <f>D198*E198</f>
        <v>1200</v>
      </c>
      <c r="G198" s="35">
        <f>F198*C4</f>
        <v>1200</v>
      </c>
      <c r="H198" s="239"/>
      <c r="I198" s="239"/>
      <c r="J198" s="239"/>
      <c r="K198" s="239"/>
      <c r="L198" s="239"/>
      <c r="M198" s="239"/>
      <c r="N198" s="239"/>
      <c r="O198" s="239"/>
      <c r="P198" s="239"/>
      <c r="Q198" s="250"/>
      <c r="R198" s="261"/>
      <c r="S198" s="222">
        <f t="shared" si="8"/>
        <v>-1200</v>
      </c>
      <c r="T198" s="228">
        <f t="shared" si="9"/>
        <v>-1</v>
      </c>
      <c r="U198" s="222">
        <f t="shared" si="10"/>
        <v>0</v>
      </c>
      <c r="V198" s="222">
        <f t="shared" si="11"/>
        <v>-1200</v>
      </c>
      <c r="W198" s="228">
        <f t="shared" si="12"/>
        <v>-1</v>
      </c>
      <c r="X198" s="228"/>
      <c r="Y198" s="35"/>
    </row>
    <row r="199" spans="1:25" ht="15" customHeight="1" x14ac:dyDescent="0.25">
      <c r="A199" s="81" t="s">
        <v>158</v>
      </c>
      <c r="B199" s="167" t="s">
        <v>12</v>
      </c>
      <c r="C199" s="18" t="s">
        <v>483</v>
      </c>
      <c r="D199" s="22">
        <v>2</v>
      </c>
      <c r="E199" s="15">
        <v>200</v>
      </c>
      <c r="F199" s="34">
        <f>D199*E199</f>
        <v>400</v>
      </c>
      <c r="G199" s="35">
        <f>F199*C4</f>
        <v>400</v>
      </c>
      <c r="H199" s="239"/>
      <c r="I199" s="239"/>
      <c r="J199" s="239"/>
      <c r="K199" s="239"/>
      <c r="L199" s="239"/>
      <c r="M199" s="239"/>
      <c r="N199" s="239"/>
      <c r="O199" s="239"/>
      <c r="P199" s="239"/>
      <c r="Q199" s="250"/>
      <c r="R199" s="261"/>
      <c r="S199" s="222">
        <f t="shared" si="8"/>
        <v>-400</v>
      </c>
      <c r="T199" s="228">
        <f t="shared" si="9"/>
        <v>-1</v>
      </c>
      <c r="U199" s="222">
        <f t="shared" si="10"/>
        <v>0</v>
      </c>
      <c r="V199" s="222">
        <f t="shared" si="11"/>
        <v>-400</v>
      </c>
      <c r="W199" s="228">
        <f t="shared" si="12"/>
        <v>-1</v>
      </c>
      <c r="X199" s="228"/>
      <c r="Y199" s="35"/>
    </row>
    <row r="200" spans="1:25" ht="15" customHeight="1" x14ac:dyDescent="0.25">
      <c r="A200" s="81" t="s">
        <v>159</v>
      </c>
      <c r="B200" s="167" t="s">
        <v>13</v>
      </c>
      <c r="C200" s="18" t="s">
        <v>482</v>
      </c>
      <c r="D200" s="22">
        <v>1</v>
      </c>
      <c r="E200" s="15">
        <v>1000</v>
      </c>
      <c r="F200" s="34">
        <f>D200*E200</f>
        <v>1000</v>
      </c>
      <c r="G200" s="35">
        <f>F200*C4</f>
        <v>1000</v>
      </c>
      <c r="H200" s="239"/>
      <c r="I200" s="239"/>
      <c r="J200" s="239"/>
      <c r="K200" s="239"/>
      <c r="L200" s="239"/>
      <c r="M200" s="239"/>
      <c r="N200" s="239"/>
      <c r="O200" s="239"/>
      <c r="P200" s="239"/>
      <c r="Q200" s="250"/>
      <c r="R200" s="261"/>
      <c r="S200" s="222">
        <f t="shared" si="8"/>
        <v>-1000</v>
      </c>
      <c r="T200" s="228">
        <f t="shared" si="9"/>
        <v>-1</v>
      </c>
      <c r="U200" s="222">
        <f t="shared" si="10"/>
        <v>0</v>
      </c>
      <c r="V200" s="222">
        <f t="shared" si="11"/>
        <v>-1000</v>
      </c>
      <c r="W200" s="228">
        <f t="shared" si="12"/>
        <v>-1</v>
      </c>
      <c r="X200" s="228"/>
      <c r="Y200" s="35"/>
    </row>
    <row r="201" spans="1:25" ht="15" customHeight="1" x14ac:dyDescent="0.25">
      <c r="A201" s="81" t="s">
        <v>160</v>
      </c>
      <c r="B201" s="167" t="s">
        <v>14</v>
      </c>
      <c r="C201" s="18"/>
      <c r="D201" s="22"/>
      <c r="E201" s="15"/>
      <c r="F201" s="34">
        <f>D201*E201</f>
        <v>0</v>
      </c>
      <c r="G201" s="35">
        <f>F201*C4</f>
        <v>0</v>
      </c>
      <c r="H201" s="239"/>
      <c r="I201" s="239"/>
      <c r="J201" s="239"/>
      <c r="K201" s="239"/>
      <c r="L201" s="239"/>
      <c r="M201" s="239"/>
      <c r="N201" s="239"/>
      <c r="O201" s="239"/>
      <c r="P201" s="239"/>
      <c r="Q201" s="250"/>
      <c r="R201" s="261"/>
      <c r="S201" s="222">
        <f t="shared" si="8"/>
        <v>0</v>
      </c>
      <c r="T201" s="228">
        <f t="shared" si="9"/>
        <v>0</v>
      </c>
      <c r="U201" s="222">
        <f t="shared" si="10"/>
        <v>0</v>
      </c>
      <c r="V201" s="222">
        <f t="shared" si="11"/>
        <v>0</v>
      </c>
      <c r="W201" s="228">
        <f t="shared" si="12"/>
        <v>0</v>
      </c>
      <c r="X201" s="228"/>
      <c r="Y201" s="35"/>
    </row>
    <row r="202" spans="1:25" ht="15" customHeight="1" x14ac:dyDescent="0.25">
      <c r="A202" s="81" t="s">
        <v>161</v>
      </c>
      <c r="B202" s="167" t="s">
        <v>60</v>
      </c>
      <c r="C202" s="18" t="s">
        <v>482</v>
      </c>
      <c r="D202" s="22">
        <v>0</v>
      </c>
      <c r="E202" s="15">
        <v>1000</v>
      </c>
      <c r="F202" s="34">
        <f>D202*E202</f>
        <v>0</v>
      </c>
      <c r="G202" s="35">
        <f>F202*C4</f>
        <v>0</v>
      </c>
      <c r="H202" s="239"/>
      <c r="I202" s="239"/>
      <c r="J202" s="239"/>
      <c r="K202" s="239"/>
      <c r="L202" s="239"/>
      <c r="M202" s="239"/>
      <c r="N202" s="239"/>
      <c r="O202" s="239"/>
      <c r="P202" s="239"/>
      <c r="Q202" s="250"/>
      <c r="R202" s="261"/>
      <c r="S202" s="222">
        <f t="shared" si="8"/>
        <v>0</v>
      </c>
      <c r="T202" s="228">
        <f t="shared" si="9"/>
        <v>0</v>
      </c>
      <c r="U202" s="222">
        <f t="shared" si="10"/>
        <v>0</v>
      </c>
      <c r="V202" s="222">
        <f t="shared" si="11"/>
        <v>0</v>
      </c>
      <c r="W202" s="228">
        <f t="shared" si="12"/>
        <v>0</v>
      </c>
      <c r="X202" s="228"/>
      <c r="Y202" s="35"/>
    </row>
    <row r="203" spans="1:25" ht="15" customHeight="1" x14ac:dyDescent="0.25">
      <c r="A203" s="74"/>
      <c r="B203" s="167"/>
      <c r="C203" s="6"/>
      <c r="D203" s="7"/>
      <c r="E203" s="8"/>
      <c r="F203" s="34"/>
      <c r="G203" s="35"/>
      <c r="H203" s="239"/>
      <c r="I203" s="239"/>
      <c r="J203" s="239"/>
      <c r="K203" s="239"/>
      <c r="L203" s="239"/>
      <c r="M203" s="239"/>
      <c r="N203" s="239"/>
      <c r="O203" s="239"/>
      <c r="P203" s="239"/>
      <c r="Q203" s="250"/>
      <c r="R203" s="256"/>
      <c r="S203" s="222"/>
      <c r="T203" s="228"/>
      <c r="U203" s="222"/>
      <c r="V203" s="222"/>
      <c r="W203" s="228"/>
      <c r="X203" s="228"/>
      <c r="Y203" s="35"/>
    </row>
    <row r="204" spans="1:25" ht="15" customHeight="1" thickBot="1" x14ac:dyDescent="0.3">
      <c r="A204" s="103"/>
      <c r="B204" s="150" t="s">
        <v>118</v>
      </c>
      <c r="C204" s="122"/>
      <c r="D204" s="126"/>
      <c r="E204" s="127"/>
      <c r="F204" s="36">
        <f>SUM(F198:F202)</f>
        <v>2600</v>
      </c>
      <c r="G204" s="36">
        <f>SUM(G198:G202)</f>
        <v>2600</v>
      </c>
      <c r="H204" s="241"/>
      <c r="I204" s="241"/>
      <c r="J204" s="241"/>
      <c r="K204" s="241"/>
      <c r="L204" s="241"/>
      <c r="M204" s="241"/>
      <c r="N204" s="241"/>
      <c r="O204" s="241"/>
      <c r="P204" s="241"/>
      <c r="Q204" s="252"/>
      <c r="R204" s="262"/>
      <c r="S204" s="234">
        <f t="shared" si="8"/>
        <v>-2600</v>
      </c>
      <c r="T204" s="235">
        <f t="shared" si="9"/>
        <v>-1</v>
      </c>
      <c r="U204" s="234">
        <f t="shared" si="10"/>
        <v>0</v>
      </c>
      <c r="V204" s="234">
        <f t="shared" si="11"/>
        <v>-2600</v>
      </c>
      <c r="W204" s="235">
        <f t="shared" si="12"/>
        <v>-1</v>
      </c>
      <c r="X204" s="235"/>
      <c r="Y204" s="35"/>
    </row>
    <row r="205" spans="1:25" ht="15" customHeight="1" thickTop="1" x14ac:dyDescent="0.25">
      <c r="A205" s="74"/>
      <c r="B205" s="167"/>
      <c r="C205" s="75"/>
      <c r="D205" s="76"/>
      <c r="E205" s="77"/>
      <c r="F205" s="34"/>
      <c r="G205" s="35"/>
      <c r="H205" s="239"/>
      <c r="I205" s="239"/>
      <c r="J205" s="239"/>
      <c r="K205" s="239"/>
      <c r="L205" s="239"/>
      <c r="M205" s="239"/>
      <c r="N205" s="239"/>
      <c r="O205" s="239"/>
      <c r="P205" s="239"/>
      <c r="Q205" s="250"/>
      <c r="R205" s="256"/>
      <c r="S205" s="222"/>
      <c r="T205" s="228"/>
      <c r="U205" s="222"/>
      <c r="V205" s="222"/>
      <c r="W205" s="228"/>
      <c r="X205" s="228"/>
      <c r="Y205" s="35"/>
    </row>
    <row r="206" spans="1:25" ht="15" customHeight="1" x14ac:dyDescent="0.25">
      <c r="A206" s="129">
        <v>6</v>
      </c>
      <c r="B206" s="130" t="s">
        <v>119</v>
      </c>
      <c r="C206" s="134"/>
      <c r="D206" s="133"/>
      <c r="E206" s="135"/>
      <c r="F206" s="135"/>
      <c r="G206" s="151"/>
      <c r="H206" s="238"/>
      <c r="I206" s="238"/>
      <c r="J206" s="238"/>
      <c r="K206" s="238"/>
      <c r="L206" s="238"/>
      <c r="M206" s="238"/>
      <c r="N206" s="238"/>
      <c r="O206" s="238"/>
      <c r="P206" s="238"/>
      <c r="Q206" s="251"/>
      <c r="R206" s="259"/>
      <c r="S206" s="227"/>
      <c r="T206" s="229"/>
      <c r="U206" s="227"/>
      <c r="V206" s="227"/>
      <c r="W206" s="229"/>
      <c r="X206" s="229"/>
      <c r="Y206" s="35"/>
    </row>
    <row r="207" spans="1:25" ht="15" customHeight="1" x14ac:dyDescent="0.25">
      <c r="A207" s="103" t="s">
        <v>120</v>
      </c>
      <c r="B207" s="103" t="s">
        <v>77</v>
      </c>
      <c r="C207" s="2"/>
      <c r="D207" s="146"/>
      <c r="E207" s="147"/>
      <c r="F207" s="3"/>
      <c r="G207" s="39"/>
      <c r="H207" s="239"/>
      <c r="I207" s="239"/>
      <c r="J207" s="239"/>
      <c r="K207" s="239"/>
      <c r="L207" s="239"/>
      <c r="M207" s="239"/>
      <c r="N207" s="239"/>
      <c r="O207" s="239"/>
      <c r="P207" s="239"/>
      <c r="Q207" s="250"/>
      <c r="R207" s="255"/>
      <c r="S207" s="222"/>
      <c r="T207" s="228"/>
      <c r="U207" s="222"/>
      <c r="V207" s="222"/>
      <c r="W207" s="228"/>
      <c r="X207" s="228"/>
      <c r="Y207" s="35"/>
    </row>
    <row r="208" spans="1:25" ht="15" customHeight="1" x14ac:dyDescent="0.25">
      <c r="A208" s="113" t="s">
        <v>121</v>
      </c>
      <c r="B208" s="174" t="s">
        <v>78</v>
      </c>
      <c r="C208" s="18"/>
      <c r="D208" s="22"/>
      <c r="E208" s="15"/>
      <c r="F208" s="3">
        <f>D208*E208</f>
        <v>0</v>
      </c>
      <c r="G208" s="39">
        <f>F208*C4</f>
        <v>0</v>
      </c>
      <c r="H208" s="239"/>
      <c r="I208" s="239"/>
      <c r="J208" s="239"/>
      <c r="K208" s="239"/>
      <c r="L208" s="239"/>
      <c r="M208" s="239"/>
      <c r="N208" s="239"/>
      <c r="O208" s="239"/>
      <c r="P208" s="239"/>
      <c r="Q208" s="250"/>
      <c r="R208" s="261"/>
      <c r="S208" s="222">
        <f t="shared" si="8"/>
        <v>0</v>
      </c>
      <c r="T208" s="228">
        <f t="shared" si="9"/>
        <v>0</v>
      </c>
      <c r="U208" s="222">
        <f t="shared" si="10"/>
        <v>0</v>
      </c>
      <c r="V208" s="222">
        <f t="shared" si="11"/>
        <v>0</v>
      </c>
      <c r="W208" s="228">
        <f t="shared" si="12"/>
        <v>0</v>
      </c>
      <c r="X208" s="228"/>
      <c r="Y208" s="35"/>
    </row>
    <row r="209" spans="1:25" ht="15" customHeight="1" x14ac:dyDescent="0.25">
      <c r="A209" s="113" t="s">
        <v>122</v>
      </c>
      <c r="B209" s="174" t="s">
        <v>79</v>
      </c>
      <c r="C209" s="18"/>
      <c r="D209" s="22"/>
      <c r="E209" s="15"/>
      <c r="F209" s="3">
        <f>D209*E209</f>
        <v>0</v>
      </c>
      <c r="G209" s="39">
        <f>F209*C4</f>
        <v>0</v>
      </c>
      <c r="H209" s="239"/>
      <c r="I209" s="239"/>
      <c r="J209" s="239"/>
      <c r="K209" s="239"/>
      <c r="L209" s="239"/>
      <c r="M209" s="239"/>
      <c r="N209" s="239"/>
      <c r="O209" s="239"/>
      <c r="P209" s="239"/>
      <c r="Q209" s="250"/>
      <c r="R209" s="261"/>
      <c r="S209" s="222">
        <f t="shared" si="8"/>
        <v>0</v>
      </c>
      <c r="T209" s="228">
        <f t="shared" si="9"/>
        <v>0</v>
      </c>
      <c r="U209" s="222">
        <f t="shared" si="10"/>
        <v>0</v>
      </c>
      <c r="V209" s="222">
        <f t="shared" si="11"/>
        <v>0</v>
      </c>
      <c r="W209" s="228">
        <f t="shared" si="12"/>
        <v>0</v>
      </c>
      <c r="X209" s="228"/>
      <c r="Y209" s="35"/>
    </row>
    <row r="210" spans="1:25" ht="15" customHeight="1" x14ac:dyDescent="0.25">
      <c r="A210" s="113" t="s">
        <v>123</v>
      </c>
      <c r="B210" s="174" t="s">
        <v>80</v>
      </c>
      <c r="C210" s="18"/>
      <c r="D210" s="22"/>
      <c r="E210" s="15"/>
      <c r="F210" s="3">
        <f>D210*E210</f>
        <v>0</v>
      </c>
      <c r="G210" s="39">
        <f>F210*C4</f>
        <v>0</v>
      </c>
      <c r="H210" s="239"/>
      <c r="I210" s="239"/>
      <c r="J210" s="239"/>
      <c r="K210" s="239"/>
      <c r="L210" s="239"/>
      <c r="M210" s="239"/>
      <c r="N210" s="239"/>
      <c r="O210" s="239"/>
      <c r="P210" s="239"/>
      <c r="Q210" s="250"/>
      <c r="R210" s="261"/>
      <c r="S210" s="222">
        <f t="shared" si="8"/>
        <v>0</v>
      </c>
      <c r="T210" s="228">
        <f t="shared" si="9"/>
        <v>0</v>
      </c>
      <c r="U210" s="222">
        <f t="shared" si="10"/>
        <v>0</v>
      </c>
      <c r="V210" s="222">
        <f t="shared" si="11"/>
        <v>0</v>
      </c>
      <c r="W210" s="228">
        <f t="shared" si="12"/>
        <v>0</v>
      </c>
      <c r="X210" s="228"/>
      <c r="Y210" s="35"/>
    </row>
    <row r="211" spans="1:25" ht="15" customHeight="1" x14ac:dyDescent="0.25">
      <c r="A211" s="113" t="s">
        <v>124</v>
      </c>
      <c r="B211" s="174" t="s">
        <v>81</v>
      </c>
      <c r="C211" s="18"/>
      <c r="D211" s="22"/>
      <c r="E211" s="15"/>
      <c r="F211" s="3">
        <f>D211*E211</f>
        <v>0</v>
      </c>
      <c r="G211" s="39">
        <f>F211*C4</f>
        <v>0</v>
      </c>
      <c r="H211" s="239"/>
      <c r="I211" s="239"/>
      <c r="J211" s="239"/>
      <c r="K211" s="239"/>
      <c r="L211" s="239"/>
      <c r="M211" s="239"/>
      <c r="N211" s="239"/>
      <c r="O211" s="239"/>
      <c r="P211" s="239"/>
      <c r="Q211" s="250"/>
      <c r="R211" s="261"/>
      <c r="S211" s="222">
        <f>R211-F211</f>
        <v>0</v>
      </c>
      <c r="T211" s="228">
        <f>IF(F211=0,0,S211/F211)</f>
        <v>0</v>
      </c>
      <c r="U211" s="222">
        <f>R211*$C$4</f>
        <v>0</v>
      </c>
      <c r="V211" s="222">
        <f>U211-G211</f>
        <v>0</v>
      </c>
      <c r="W211" s="228">
        <f>IF(G211=0,0,V211/G211)</f>
        <v>0</v>
      </c>
      <c r="X211" s="228"/>
      <c r="Y211" s="35"/>
    </row>
    <row r="212" spans="1:25" ht="15" customHeight="1" x14ac:dyDescent="0.25">
      <c r="A212" s="103"/>
      <c r="B212" s="174"/>
      <c r="C212" s="12"/>
      <c r="D212" s="23"/>
      <c r="E212" s="24"/>
      <c r="F212" s="3"/>
      <c r="G212" s="39"/>
      <c r="H212" s="239"/>
      <c r="I212" s="239"/>
      <c r="J212" s="239"/>
      <c r="K212" s="239"/>
      <c r="L212" s="239"/>
      <c r="M212" s="239"/>
      <c r="N212" s="239"/>
      <c r="O212" s="239"/>
      <c r="P212" s="239"/>
      <c r="Q212" s="250"/>
      <c r="R212" s="255"/>
      <c r="S212" s="222"/>
      <c r="T212" s="228"/>
      <c r="U212" s="222"/>
      <c r="V212" s="222"/>
      <c r="W212" s="228"/>
      <c r="X212" s="228"/>
      <c r="Y212" s="35"/>
    </row>
    <row r="213" spans="1:25" ht="15" customHeight="1" thickBot="1" x14ac:dyDescent="0.3">
      <c r="A213" s="103"/>
      <c r="B213" s="150" t="s">
        <v>82</v>
      </c>
      <c r="C213" s="2"/>
      <c r="D213" s="146"/>
      <c r="E213" s="147"/>
      <c r="F213" s="36">
        <f>SUM(F208:F211)</f>
        <v>0</v>
      </c>
      <c r="G213" s="36">
        <f>SUM(G208:G211)</f>
        <v>0</v>
      </c>
      <c r="H213" s="241"/>
      <c r="I213" s="241"/>
      <c r="J213" s="241"/>
      <c r="K213" s="241"/>
      <c r="L213" s="241"/>
      <c r="M213" s="241"/>
      <c r="N213" s="241"/>
      <c r="O213" s="241"/>
      <c r="P213" s="241"/>
      <c r="Q213" s="252"/>
      <c r="R213" s="262"/>
      <c r="S213" s="234">
        <f>R213-F213</f>
        <v>0</v>
      </c>
      <c r="T213" s="235">
        <f>IF(F213=0,0,S213/F213)</f>
        <v>0</v>
      </c>
      <c r="U213" s="234">
        <f>R213*$C$4</f>
        <v>0</v>
      </c>
      <c r="V213" s="234">
        <f>U213-G213</f>
        <v>0</v>
      </c>
      <c r="W213" s="235">
        <f>IF(G213=0,0,V213/G213)</f>
        <v>0</v>
      </c>
      <c r="X213" s="235"/>
      <c r="Y213" s="35"/>
    </row>
    <row r="214" spans="1:25" ht="15" customHeight="1" thickTop="1" x14ac:dyDescent="0.25">
      <c r="A214" s="74"/>
      <c r="B214" s="178"/>
      <c r="C214" s="75"/>
      <c r="D214" s="76"/>
      <c r="E214" s="77"/>
      <c r="F214" s="179"/>
      <c r="G214" s="35"/>
      <c r="H214" s="239"/>
      <c r="I214" s="239"/>
      <c r="J214" s="239"/>
      <c r="K214" s="239"/>
      <c r="L214" s="239"/>
      <c r="M214" s="239"/>
      <c r="N214" s="239"/>
      <c r="O214" s="239"/>
      <c r="P214" s="239"/>
      <c r="Q214" s="250"/>
      <c r="R214" s="256"/>
      <c r="S214" s="222"/>
      <c r="T214" s="228"/>
      <c r="U214" s="222"/>
      <c r="V214" s="222"/>
      <c r="W214" s="228"/>
      <c r="X214" s="228"/>
      <c r="Y214" s="35"/>
    </row>
    <row r="215" spans="1:25" ht="15" customHeight="1" x14ac:dyDescent="0.25">
      <c r="A215" s="103" t="s">
        <v>125</v>
      </c>
      <c r="B215" s="103" t="s">
        <v>198</v>
      </c>
      <c r="C215" s="2"/>
      <c r="D215" s="146"/>
      <c r="E215" s="147"/>
      <c r="F215" s="3"/>
      <c r="G215" s="39"/>
      <c r="H215" s="239"/>
      <c r="I215" s="239"/>
      <c r="J215" s="239"/>
      <c r="K215" s="239"/>
      <c r="L215" s="239"/>
      <c r="M215" s="239"/>
      <c r="N215" s="239"/>
      <c r="O215" s="239"/>
      <c r="P215" s="239"/>
      <c r="Q215" s="250"/>
      <c r="R215" s="255"/>
      <c r="S215" s="222"/>
      <c r="T215" s="228"/>
      <c r="U215" s="222"/>
      <c r="V215" s="222"/>
      <c r="W215" s="228"/>
      <c r="X215" s="228"/>
      <c r="Y215" s="35"/>
    </row>
    <row r="216" spans="1:25" ht="15" customHeight="1" x14ac:dyDescent="0.25">
      <c r="A216" s="113" t="s">
        <v>126</v>
      </c>
      <c r="B216" s="174" t="s">
        <v>135</v>
      </c>
      <c r="C216" s="18"/>
      <c r="D216" s="22"/>
      <c r="E216" s="15"/>
      <c r="F216" s="3">
        <f>D216*E216</f>
        <v>0</v>
      </c>
      <c r="G216" s="39">
        <f>F216*C4</f>
        <v>0</v>
      </c>
      <c r="H216" s="239"/>
      <c r="I216" s="239"/>
      <c r="J216" s="239"/>
      <c r="K216" s="239"/>
      <c r="L216" s="239"/>
      <c r="M216" s="239"/>
      <c r="N216" s="239"/>
      <c r="O216" s="239"/>
      <c r="P216" s="239"/>
      <c r="Q216" s="250"/>
      <c r="R216" s="261"/>
      <c r="S216" s="222">
        <f>R216-F216</f>
        <v>0</v>
      </c>
      <c r="T216" s="228">
        <f>IF(F216=0,0,S216/F216)</f>
        <v>0</v>
      </c>
      <c r="U216" s="222">
        <f>R216*$C$4</f>
        <v>0</v>
      </c>
      <c r="V216" s="222">
        <f>U216-G216</f>
        <v>0</v>
      </c>
      <c r="W216" s="228">
        <f>IF(G216=0,0,V216/G216)</f>
        <v>0</v>
      </c>
      <c r="X216" s="228"/>
      <c r="Y216" s="35"/>
    </row>
    <row r="217" spans="1:25" ht="15" customHeight="1" x14ac:dyDescent="0.25">
      <c r="A217" s="113" t="s">
        <v>127</v>
      </c>
      <c r="B217" s="174" t="s">
        <v>136</v>
      </c>
      <c r="C217" s="18"/>
      <c r="D217" s="22"/>
      <c r="E217" s="15"/>
      <c r="F217" s="3">
        <f>D217*E217</f>
        <v>0</v>
      </c>
      <c r="G217" s="39">
        <f>F217*C4</f>
        <v>0</v>
      </c>
      <c r="H217" s="239"/>
      <c r="I217" s="239"/>
      <c r="J217" s="239"/>
      <c r="K217" s="239"/>
      <c r="L217" s="239"/>
      <c r="M217" s="239"/>
      <c r="N217" s="239"/>
      <c r="O217" s="239"/>
      <c r="P217" s="239"/>
      <c r="Q217" s="250"/>
      <c r="R217" s="261"/>
      <c r="S217" s="222">
        <f>R217-F217</f>
        <v>0</v>
      </c>
      <c r="T217" s="228">
        <f>IF(F217=0,0,S217/F217)</f>
        <v>0</v>
      </c>
      <c r="U217" s="222">
        <f>R217*$C$4</f>
        <v>0</v>
      </c>
      <c r="V217" s="222">
        <f>U217-G217</f>
        <v>0</v>
      </c>
      <c r="W217" s="228">
        <f>IF(G217=0,0,V217/G217)</f>
        <v>0</v>
      </c>
      <c r="X217" s="228"/>
      <c r="Y217" s="35"/>
    </row>
    <row r="218" spans="1:25" ht="15" customHeight="1" x14ac:dyDescent="0.25">
      <c r="A218" s="113" t="s">
        <v>128</v>
      </c>
      <c r="B218" s="174" t="s">
        <v>134</v>
      </c>
      <c r="C218" s="18"/>
      <c r="D218" s="22"/>
      <c r="E218" s="15"/>
      <c r="F218" s="3">
        <f>D218*E218</f>
        <v>0</v>
      </c>
      <c r="G218" s="39">
        <f>F218*C4</f>
        <v>0</v>
      </c>
      <c r="H218" s="239"/>
      <c r="I218" s="239"/>
      <c r="J218" s="239"/>
      <c r="K218" s="239"/>
      <c r="L218" s="239"/>
      <c r="M218" s="239"/>
      <c r="N218" s="239"/>
      <c r="O218" s="239"/>
      <c r="P218" s="239"/>
      <c r="Q218" s="250"/>
      <c r="R218" s="261"/>
      <c r="S218" s="222">
        <f>R218-F218</f>
        <v>0</v>
      </c>
      <c r="T218" s="228">
        <f>IF(F218=0,0,S218/F218)</f>
        <v>0</v>
      </c>
      <c r="U218" s="222">
        <f>R218*$C$4</f>
        <v>0</v>
      </c>
      <c r="V218" s="222">
        <f>U218-G218</f>
        <v>0</v>
      </c>
      <c r="W218" s="228">
        <f>IF(G218=0,0,V218/G218)</f>
        <v>0</v>
      </c>
      <c r="X218" s="228"/>
      <c r="Y218" s="35"/>
    </row>
    <row r="219" spans="1:25" ht="15" customHeight="1" x14ac:dyDescent="0.25">
      <c r="A219" s="113" t="s">
        <v>129</v>
      </c>
      <c r="B219" s="174" t="s">
        <v>484</v>
      </c>
      <c r="C219" s="18" t="s">
        <v>482</v>
      </c>
      <c r="D219" s="22">
        <v>1</v>
      </c>
      <c r="E219" s="15">
        <v>3000</v>
      </c>
      <c r="F219" s="3">
        <f>D219*E219</f>
        <v>3000</v>
      </c>
      <c r="G219" s="39">
        <f>F219*C4</f>
        <v>3000</v>
      </c>
      <c r="H219" s="239"/>
      <c r="I219" s="239"/>
      <c r="J219" s="239"/>
      <c r="K219" s="239"/>
      <c r="L219" s="239"/>
      <c r="M219" s="239"/>
      <c r="N219" s="239"/>
      <c r="O219" s="239"/>
      <c r="P219" s="239"/>
      <c r="Q219" s="250"/>
      <c r="R219" s="261"/>
      <c r="S219" s="222">
        <f>R219-F219</f>
        <v>-3000</v>
      </c>
      <c r="T219" s="228">
        <f>IF(F219=0,0,S219/F219)</f>
        <v>-1</v>
      </c>
      <c r="U219" s="222">
        <f>R219*$C$4</f>
        <v>0</v>
      </c>
      <c r="V219" s="222">
        <f>U219-G219</f>
        <v>-3000</v>
      </c>
      <c r="W219" s="228">
        <f>IF(G219=0,0,V219/G219)</f>
        <v>-1</v>
      </c>
      <c r="X219" s="837" t="s">
        <v>944</v>
      </c>
      <c r="Y219" s="35"/>
    </row>
    <row r="220" spans="1:25" ht="15" customHeight="1" x14ac:dyDescent="0.25">
      <c r="A220" s="103"/>
      <c r="B220" s="174"/>
      <c r="C220" s="12"/>
      <c r="D220" s="23"/>
      <c r="E220" s="24"/>
      <c r="F220" s="3"/>
      <c r="G220" s="39"/>
      <c r="H220" s="239"/>
      <c r="I220" s="239"/>
      <c r="J220" s="239"/>
      <c r="K220" s="239"/>
      <c r="L220" s="239"/>
      <c r="M220" s="239"/>
      <c r="N220" s="239"/>
      <c r="O220" s="239"/>
      <c r="P220" s="239"/>
      <c r="Q220" s="250"/>
      <c r="R220" s="255"/>
      <c r="S220" s="222"/>
      <c r="T220" s="228"/>
      <c r="U220" s="222"/>
      <c r="V220" s="222"/>
      <c r="W220" s="228"/>
      <c r="X220" s="228"/>
      <c r="Y220" s="35"/>
    </row>
    <row r="221" spans="1:25" ht="15" customHeight="1" thickBot="1" x14ac:dyDescent="0.3">
      <c r="A221" s="103"/>
      <c r="B221" s="150" t="s">
        <v>199</v>
      </c>
      <c r="C221" s="2"/>
      <c r="D221" s="146"/>
      <c r="E221" s="147"/>
      <c r="F221" s="36">
        <f>SUM(F216:F219)</f>
        <v>3000</v>
      </c>
      <c r="G221" s="36">
        <f>SUM(G216:G219)</f>
        <v>3000</v>
      </c>
      <c r="H221" s="241"/>
      <c r="I221" s="241"/>
      <c r="J221" s="241"/>
      <c r="K221" s="241"/>
      <c r="L221" s="241"/>
      <c r="M221" s="241"/>
      <c r="N221" s="241"/>
      <c r="O221" s="241"/>
      <c r="P221" s="241"/>
      <c r="Q221" s="252"/>
      <c r="R221" s="262"/>
      <c r="S221" s="234">
        <f>R221-F221</f>
        <v>-3000</v>
      </c>
      <c r="T221" s="235">
        <f>IF(F221=0,0,S221/F221)</f>
        <v>-1</v>
      </c>
      <c r="U221" s="234">
        <f>R221*$C$4</f>
        <v>0</v>
      </c>
      <c r="V221" s="234">
        <f>U221-G221</f>
        <v>-3000</v>
      </c>
      <c r="W221" s="235">
        <f>IF(G221=0,0,V221/G221)</f>
        <v>-1</v>
      </c>
      <c r="X221" s="235"/>
      <c r="Y221" s="35"/>
    </row>
    <row r="222" spans="1:25" ht="15" customHeight="1" thickTop="1" x14ac:dyDescent="0.25">
      <c r="A222" s="74"/>
      <c r="B222" s="178"/>
      <c r="C222" s="75"/>
      <c r="D222" s="76"/>
      <c r="E222" s="77"/>
      <c r="F222" s="179"/>
      <c r="G222" s="35"/>
      <c r="H222" s="239"/>
      <c r="I222" s="239"/>
      <c r="J222" s="239"/>
      <c r="K222" s="239"/>
      <c r="L222" s="239"/>
      <c r="M222" s="239"/>
      <c r="N222" s="239"/>
      <c r="O222" s="239"/>
      <c r="P222" s="239"/>
      <c r="Q222" s="250"/>
      <c r="R222" s="256"/>
      <c r="S222" s="222"/>
      <c r="T222" s="228"/>
      <c r="U222" s="222"/>
      <c r="V222" s="222"/>
      <c r="W222" s="228"/>
      <c r="X222" s="228"/>
      <c r="Y222" s="35"/>
    </row>
    <row r="223" spans="1:25" ht="15" customHeight="1" x14ac:dyDescent="0.25">
      <c r="A223" s="103" t="s">
        <v>163</v>
      </c>
      <c r="B223" s="103" t="s">
        <v>162</v>
      </c>
      <c r="C223" s="2"/>
      <c r="D223" s="146"/>
      <c r="E223" s="147"/>
      <c r="F223" s="3"/>
      <c r="G223" s="39"/>
      <c r="H223" s="239"/>
      <c r="I223" s="239"/>
      <c r="J223" s="239"/>
      <c r="K223" s="239"/>
      <c r="L223" s="239"/>
      <c r="M223" s="239"/>
      <c r="N223" s="239"/>
      <c r="O223" s="239"/>
      <c r="P223" s="239"/>
      <c r="Q223" s="250"/>
      <c r="R223" s="255"/>
      <c r="S223" s="222"/>
      <c r="T223" s="228"/>
      <c r="U223" s="222"/>
      <c r="V223" s="222"/>
      <c r="W223" s="228"/>
      <c r="X223" s="228"/>
      <c r="Y223" s="35"/>
    </row>
    <row r="224" spans="1:25" ht="15" customHeight="1" x14ac:dyDescent="0.25">
      <c r="A224" s="113" t="s">
        <v>168</v>
      </c>
      <c r="B224" s="174" t="s">
        <v>307</v>
      </c>
      <c r="C224" s="18" t="s">
        <v>482</v>
      </c>
      <c r="D224" s="22">
        <v>0</v>
      </c>
      <c r="E224" s="15">
        <v>10000</v>
      </c>
      <c r="F224" s="3">
        <f>D224*E224</f>
        <v>0</v>
      </c>
      <c r="G224" s="39">
        <f>F224*C4</f>
        <v>0</v>
      </c>
      <c r="H224" s="239"/>
      <c r="I224" s="239"/>
      <c r="J224" s="239"/>
      <c r="K224" s="239"/>
      <c r="L224" s="239"/>
      <c r="M224" s="239"/>
      <c r="N224" s="239"/>
      <c r="O224" s="239"/>
      <c r="P224" s="239"/>
      <c r="Q224" s="250"/>
      <c r="R224" s="261"/>
      <c r="S224" s="222">
        <f>R224-F224</f>
        <v>0</v>
      </c>
      <c r="T224" s="228">
        <f>IF(F224=0,0,S224/F224)</f>
        <v>0</v>
      </c>
      <c r="U224" s="222">
        <f>R224*$C$4</f>
        <v>0</v>
      </c>
      <c r="V224" s="222">
        <f>U224-G224</f>
        <v>0</v>
      </c>
      <c r="W224" s="228">
        <f>IF(G224=0,0,V224/G224)</f>
        <v>0</v>
      </c>
      <c r="X224" s="228"/>
      <c r="Y224" s="35"/>
    </row>
    <row r="225" spans="1:25" ht="15" customHeight="1" x14ac:dyDescent="0.25">
      <c r="A225" s="113" t="s">
        <v>169</v>
      </c>
      <c r="B225" s="174" t="s">
        <v>165</v>
      </c>
      <c r="C225" s="18"/>
      <c r="D225" s="22"/>
      <c r="E225" s="15"/>
      <c r="F225" s="3">
        <f>D225*E225</f>
        <v>0</v>
      </c>
      <c r="G225" s="39">
        <f>F225*C4</f>
        <v>0</v>
      </c>
      <c r="H225" s="239"/>
      <c r="I225" s="239"/>
      <c r="J225" s="239"/>
      <c r="K225" s="239"/>
      <c r="L225" s="239"/>
      <c r="M225" s="239"/>
      <c r="N225" s="239"/>
      <c r="O225" s="239"/>
      <c r="P225" s="239"/>
      <c r="Q225" s="250"/>
      <c r="R225" s="261"/>
      <c r="S225" s="222">
        <f>R225-F225</f>
        <v>0</v>
      </c>
      <c r="T225" s="228">
        <f>IF(F225=0,0,S225/F225)</f>
        <v>0</v>
      </c>
      <c r="U225" s="222">
        <f>R225*$C$4</f>
        <v>0</v>
      </c>
      <c r="V225" s="222">
        <f>U225-G225</f>
        <v>0</v>
      </c>
      <c r="W225" s="228">
        <f>IF(G225=0,0,V225/G225)</f>
        <v>0</v>
      </c>
      <c r="X225" s="228"/>
      <c r="Y225" s="35"/>
    </row>
    <row r="226" spans="1:25" ht="15" customHeight="1" x14ac:dyDescent="0.25">
      <c r="A226" s="113" t="s">
        <v>170</v>
      </c>
      <c r="B226" s="174" t="s">
        <v>166</v>
      </c>
      <c r="C226" s="18"/>
      <c r="D226" s="22"/>
      <c r="E226" s="15"/>
      <c r="F226" s="3">
        <f>D226*E226</f>
        <v>0</v>
      </c>
      <c r="G226" s="39">
        <f>F226*C4</f>
        <v>0</v>
      </c>
      <c r="H226" s="239"/>
      <c r="I226" s="239"/>
      <c r="J226" s="239"/>
      <c r="K226" s="239"/>
      <c r="L226" s="239"/>
      <c r="M226" s="239"/>
      <c r="N226" s="239"/>
      <c r="O226" s="239"/>
      <c r="P226" s="239"/>
      <c r="Q226" s="250"/>
      <c r="R226" s="261"/>
      <c r="S226" s="222">
        <f>R226-F226</f>
        <v>0</v>
      </c>
      <c r="T226" s="228">
        <f>IF(F226=0,0,S226/F226)</f>
        <v>0</v>
      </c>
      <c r="U226" s="222">
        <f>R226*$C$4</f>
        <v>0</v>
      </c>
      <c r="V226" s="222">
        <f>U226-G226</f>
        <v>0</v>
      </c>
      <c r="W226" s="228">
        <f>IF(G226=0,0,V226/G226)</f>
        <v>0</v>
      </c>
      <c r="X226" s="228"/>
      <c r="Y226" s="35"/>
    </row>
    <row r="227" spans="1:25" ht="15" customHeight="1" x14ac:dyDescent="0.25">
      <c r="A227" s="103"/>
      <c r="B227" s="174"/>
      <c r="C227" s="12"/>
      <c r="D227" s="23"/>
      <c r="E227" s="24"/>
      <c r="F227" s="3"/>
      <c r="G227" s="39"/>
      <c r="H227" s="239"/>
      <c r="I227" s="239"/>
      <c r="J227" s="239"/>
      <c r="K227" s="239"/>
      <c r="L227" s="239"/>
      <c r="M227" s="239"/>
      <c r="N227" s="239"/>
      <c r="O227" s="239"/>
      <c r="P227" s="239"/>
      <c r="Q227" s="250"/>
      <c r="R227" s="255"/>
      <c r="S227" s="234"/>
      <c r="T227" s="235"/>
      <c r="U227" s="234"/>
      <c r="V227" s="234"/>
      <c r="W227" s="235"/>
      <c r="X227" s="235"/>
      <c r="Y227" s="35"/>
    </row>
    <row r="228" spans="1:25" ht="15" customHeight="1" thickBot="1" x14ac:dyDescent="0.3">
      <c r="A228" s="103"/>
      <c r="B228" s="150" t="s">
        <v>167</v>
      </c>
      <c r="C228" s="2"/>
      <c r="D228" s="146"/>
      <c r="E228" s="147"/>
      <c r="F228" s="36">
        <f>SUM(F224:F226)</f>
        <v>0</v>
      </c>
      <c r="G228" s="36">
        <f>SUM(G224:G226)</f>
        <v>0</v>
      </c>
      <c r="H228" s="241"/>
      <c r="I228" s="241"/>
      <c r="J228" s="241"/>
      <c r="K228" s="241"/>
      <c r="L228" s="241"/>
      <c r="M228" s="241"/>
      <c r="N228" s="241"/>
      <c r="O228" s="241"/>
      <c r="P228" s="241"/>
      <c r="Q228" s="252"/>
      <c r="R228" s="262"/>
      <c r="S228" s="234">
        <f>R228-F228</f>
        <v>0</v>
      </c>
      <c r="T228" s="235">
        <f>IF(F228=0,0,S228/F228)</f>
        <v>0</v>
      </c>
      <c r="U228" s="234">
        <f>R228*$C$4</f>
        <v>0</v>
      </c>
      <c r="V228" s="234">
        <f>U228-G228</f>
        <v>0</v>
      </c>
      <c r="W228" s="235">
        <f>IF(G228=0,0,V228/G228)</f>
        <v>0</v>
      </c>
      <c r="X228" s="235"/>
      <c r="Y228" s="35"/>
    </row>
    <row r="229" spans="1:25" ht="15" customHeight="1" thickTop="1" x14ac:dyDescent="0.25">
      <c r="A229" s="103"/>
      <c r="B229" s="150"/>
      <c r="C229" s="122"/>
      <c r="D229" s="126"/>
      <c r="E229" s="127"/>
      <c r="F229" s="173"/>
      <c r="G229" s="173"/>
      <c r="H229" s="241"/>
      <c r="I229" s="241"/>
      <c r="J229" s="241"/>
      <c r="K229" s="241"/>
      <c r="L229" s="241"/>
      <c r="M229" s="241"/>
      <c r="N229" s="241"/>
      <c r="O229" s="241"/>
      <c r="P229" s="241"/>
      <c r="Q229" s="252"/>
      <c r="R229" s="258"/>
      <c r="S229" s="222"/>
      <c r="T229" s="228"/>
      <c r="U229" s="222"/>
      <c r="V229" s="222"/>
      <c r="W229" s="228"/>
      <c r="X229" s="228"/>
      <c r="Y229" s="35"/>
    </row>
    <row r="230" spans="1:25" ht="15" customHeight="1" thickBot="1" x14ac:dyDescent="0.3">
      <c r="A230" s="180"/>
      <c r="B230" s="181" t="s">
        <v>53</v>
      </c>
      <c r="C230" s="183"/>
      <c r="D230" s="182"/>
      <c r="E230" s="184"/>
      <c r="F230" s="40">
        <f>SUM(F100+F164+F176+F195+F204+F213+F221+F228)</f>
        <v>692355</v>
      </c>
      <c r="G230" s="40">
        <f>F230*C4</f>
        <v>692355</v>
      </c>
      <c r="H230" s="241"/>
      <c r="I230" s="241"/>
      <c r="J230" s="241"/>
      <c r="K230" s="241"/>
      <c r="L230" s="241"/>
      <c r="M230" s="241"/>
      <c r="N230" s="241"/>
      <c r="O230" s="241"/>
      <c r="P230" s="241"/>
      <c r="Q230" s="252"/>
      <c r="R230" s="262"/>
      <c r="S230" s="223">
        <f>R230-F230</f>
        <v>-692355</v>
      </c>
      <c r="T230" s="233">
        <f>IF(F230=0,0,S230/F230)</f>
        <v>-1</v>
      </c>
      <c r="U230" s="223">
        <f>R230*$C$4</f>
        <v>0</v>
      </c>
      <c r="V230" s="223">
        <f>U230-G230</f>
        <v>-692355</v>
      </c>
      <c r="W230" s="233">
        <f>IF(G230=0,0,V230/G230)</f>
        <v>-1</v>
      </c>
      <c r="X230" s="408"/>
      <c r="Y230" s="35"/>
    </row>
    <row r="231" spans="1:25" ht="15" customHeight="1" thickTop="1" x14ac:dyDescent="0.25">
      <c r="A231" s="74"/>
      <c r="B231" s="91"/>
      <c r="C231" s="75"/>
      <c r="D231" s="76"/>
      <c r="E231" s="77"/>
      <c r="F231" s="34"/>
      <c r="G231" s="35"/>
      <c r="H231" s="239"/>
      <c r="I231" s="239"/>
      <c r="J231" s="239"/>
      <c r="K231" s="239"/>
      <c r="L231" s="239"/>
      <c r="M231" s="239"/>
      <c r="N231" s="239"/>
      <c r="O231" s="239"/>
      <c r="P231" s="239"/>
      <c r="Q231" s="250"/>
      <c r="R231" s="256"/>
      <c r="S231" s="222"/>
      <c r="T231" s="228"/>
      <c r="U231" s="222"/>
      <c r="V231" s="222"/>
      <c r="W231" s="228"/>
      <c r="X231" s="228"/>
      <c r="Y231" s="35"/>
    </row>
    <row r="232" spans="1:25" ht="15" customHeight="1" x14ac:dyDescent="0.25">
      <c r="A232" s="74" t="s">
        <v>61</v>
      </c>
      <c r="B232" s="35"/>
      <c r="C232" s="75"/>
      <c r="D232" s="76"/>
      <c r="E232" s="77"/>
      <c r="F232" s="34"/>
      <c r="G232" s="35"/>
      <c r="H232" s="239"/>
      <c r="I232" s="239"/>
      <c r="J232" s="239"/>
      <c r="K232" s="239"/>
      <c r="L232" s="239"/>
      <c r="M232" s="239"/>
      <c r="N232" s="239"/>
      <c r="O232" s="239"/>
      <c r="P232" s="239"/>
      <c r="Q232" s="250"/>
      <c r="R232" s="256"/>
      <c r="S232" s="222"/>
      <c r="T232" s="228"/>
      <c r="U232" s="222"/>
      <c r="V232" s="222"/>
      <c r="W232" s="228"/>
      <c r="X232" s="228"/>
      <c r="Y232" s="35"/>
    </row>
    <row r="233" spans="1:25" ht="15" customHeight="1" x14ac:dyDescent="0.25">
      <c r="A233" s="74" t="s">
        <v>18</v>
      </c>
      <c r="B233" s="185" t="s">
        <v>9</v>
      </c>
      <c r="C233" s="75"/>
      <c r="D233" s="76"/>
      <c r="E233" s="77"/>
      <c r="F233" s="34"/>
      <c r="G233" s="35"/>
      <c r="H233" s="239"/>
      <c r="I233" s="239"/>
      <c r="J233" s="239"/>
      <c r="K233" s="239"/>
      <c r="L233" s="239"/>
      <c r="M233" s="239"/>
      <c r="N233" s="239"/>
      <c r="O233" s="239"/>
      <c r="P233" s="239"/>
      <c r="Q233" s="250"/>
      <c r="R233" s="256"/>
      <c r="S233" s="222"/>
      <c r="T233" s="228"/>
      <c r="U233" s="222"/>
      <c r="V233" s="222"/>
      <c r="W233" s="228"/>
      <c r="X233" s="228"/>
      <c r="Y233" s="35"/>
    </row>
    <row r="234" spans="1:25" ht="15" customHeight="1" x14ac:dyDescent="0.25">
      <c r="A234" s="74"/>
      <c r="B234" s="153" t="s">
        <v>489</v>
      </c>
      <c r="C234" s="18" t="s">
        <v>432</v>
      </c>
      <c r="D234" s="22">
        <v>12</v>
      </c>
      <c r="E234" s="15">
        <f>5530*25%</f>
        <v>1382.5</v>
      </c>
      <c r="F234" s="34">
        <f t="shared" ref="F234:F240" si="14">D234*E234</f>
        <v>16590</v>
      </c>
      <c r="G234" s="35">
        <f t="shared" ref="G234:G240" si="15">F234*$C$4</f>
        <v>16590</v>
      </c>
      <c r="H234" s="239"/>
      <c r="I234" s="239"/>
      <c r="J234" s="239"/>
      <c r="K234" s="239"/>
      <c r="L234" s="239"/>
      <c r="M234" s="239"/>
      <c r="N234" s="239"/>
      <c r="O234" s="239"/>
      <c r="P234" s="239"/>
      <c r="Q234" s="250"/>
      <c r="R234" s="261"/>
      <c r="S234" s="222">
        <f>R234-F234</f>
        <v>-16590</v>
      </c>
      <c r="T234" s="228">
        <f>IF(F234=0,0,S234/F234)</f>
        <v>-1</v>
      </c>
      <c r="U234" s="222">
        <f>R234*$C$4</f>
        <v>0</v>
      </c>
      <c r="V234" s="222">
        <f>U234-G234</f>
        <v>-16590</v>
      </c>
      <c r="W234" s="228">
        <f>IF(G234=0,0,V234/G234)</f>
        <v>-1</v>
      </c>
      <c r="X234" s="228"/>
      <c r="Y234" s="35"/>
    </row>
    <row r="235" spans="1:25" ht="15" customHeight="1" x14ac:dyDescent="0.25">
      <c r="A235" s="74"/>
      <c r="B235" s="153" t="s">
        <v>491</v>
      </c>
      <c r="C235" s="18" t="s">
        <v>432</v>
      </c>
      <c r="D235" s="22">
        <v>12</v>
      </c>
      <c r="E235" s="15">
        <f>800*50%</f>
        <v>400</v>
      </c>
      <c r="F235" s="34">
        <f>D235*E235</f>
        <v>4800</v>
      </c>
      <c r="G235" s="35">
        <f>F235*$C$4</f>
        <v>4800</v>
      </c>
      <c r="H235" s="239"/>
      <c r="I235" s="239"/>
      <c r="J235" s="239"/>
      <c r="K235" s="239"/>
      <c r="L235" s="239"/>
      <c r="M235" s="239"/>
      <c r="N235" s="239"/>
      <c r="O235" s="239"/>
      <c r="P235" s="239"/>
      <c r="Q235" s="250"/>
      <c r="R235" s="261"/>
      <c r="S235" s="222">
        <f>R235-F235</f>
        <v>-4800</v>
      </c>
      <c r="T235" s="228">
        <f>IF(F235=0,0,S235/F235)</f>
        <v>-1</v>
      </c>
      <c r="U235" s="222">
        <f>R235*$C$4</f>
        <v>0</v>
      </c>
      <c r="V235" s="222">
        <f>U235-G235</f>
        <v>-4800</v>
      </c>
      <c r="W235" s="228">
        <f>IF(G235=0,0,V235/G235)</f>
        <v>-1</v>
      </c>
      <c r="X235" s="228"/>
      <c r="Y235" s="35"/>
    </row>
    <row r="236" spans="1:25" ht="15" customHeight="1" x14ac:dyDescent="0.25">
      <c r="A236" s="74"/>
      <c r="B236" s="153" t="s">
        <v>490</v>
      </c>
      <c r="C236" s="18" t="s">
        <v>432</v>
      </c>
      <c r="D236" s="22">
        <v>12</v>
      </c>
      <c r="E236" s="15">
        <f>2000*50%</f>
        <v>1000</v>
      </c>
      <c r="F236" s="34">
        <f t="shared" si="14"/>
        <v>12000</v>
      </c>
      <c r="G236" s="35">
        <f t="shared" si="15"/>
        <v>12000</v>
      </c>
      <c r="H236" s="239"/>
      <c r="I236" s="239"/>
      <c r="J236" s="239"/>
      <c r="K236" s="239"/>
      <c r="L236" s="239"/>
      <c r="M236" s="239"/>
      <c r="N236" s="239"/>
      <c r="O236" s="239"/>
      <c r="P236" s="239"/>
      <c r="Q236" s="250"/>
      <c r="R236" s="261"/>
      <c r="S236" s="222">
        <f>R236-F236</f>
        <v>-12000</v>
      </c>
      <c r="T236" s="228">
        <f>IF(F236=0,0,S236/F236)</f>
        <v>-1</v>
      </c>
      <c r="U236" s="222">
        <f>R236*$C$4</f>
        <v>0</v>
      </c>
      <c r="V236" s="222">
        <f>U236-G236</f>
        <v>-12000</v>
      </c>
      <c r="W236" s="228">
        <f>IF(G236=0,0,V236/G236)</f>
        <v>-1</v>
      </c>
      <c r="X236" s="228"/>
      <c r="Y236" s="35"/>
    </row>
    <row r="237" spans="1:25" ht="15" customHeight="1" x14ac:dyDescent="0.25">
      <c r="A237" s="74"/>
      <c r="B237" s="153" t="s">
        <v>492</v>
      </c>
      <c r="C237" s="18" t="s">
        <v>432</v>
      </c>
      <c r="D237" s="22">
        <v>12</v>
      </c>
      <c r="E237" s="15">
        <f>550*50%</f>
        <v>275</v>
      </c>
      <c r="F237" s="34">
        <f t="shared" si="14"/>
        <v>3300</v>
      </c>
      <c r="G237" s="35">
        <f t="shared" si="15"/>
        <v>3300</v>
      </c>
      <c r="H237" s="239"/>
      <c r="I237" s="239"/>
      <c r="J237" s="239"/>
      <c r="K237" s="239"/>
      <c r="L237" s="239"/>
      <c r="M237" s="239"/>
      <c r="N237" s="239"/>
      <c r="O237" s="239"/>
      <c r="P237" s="239"/>
      <c r="Q237" s="250"/>
      <c r="R237" s="261"/>
      <c r="S237" s="222"/>
      <c r="T237" s="228"/>
      <c r="U237" s="222"/>
      <c r="V237" s="222"/>
      <c r="W237" s="228"/>
      <c r="X237" s="228"/>
      <c r="Y237" s="35"/>
    </row>
    <row r="238" spans="1:25" ht="15" customHeight="1" x14ac:dyDescent="0.25">
      <c r="A238" s="74"/>
      <c r="B238" s="153" t="s">
        <v>493</v>
      </c>
      <c r="C238" s="18" t="s">
        <v>432</v>
      </c>
      <c r="D238" s="22">
        <v>12</v>
      </c>
      <c r="E238" s="15">
        <f>800*50%</f>
        <v>400</v>
      </c>
      <c r="F238" s="34">
        <f t="shared" si="14"/>
        <v>4800</v>
      </c>
      <c r="G238" s="35">
        <f t="shared" si="15"/>
        <v>4800</v>
      </c>
      <c r="H238" s="239"/>
      <c r="I238" s="239"/>
      <c r="J238" s="239"/>
      <c r="K238" s="239"/>
      <c r="L238" s="239"/>
      <c r="M238" s="239"/>
      <c r="N238" s="239"/>
      <c r="O238" s="239"/>
      <c r="P238" s="239"/>
      <c r="Q238" s="250"/>
      <c r="R238" s="261"/>
      <c r="S238" s="222"/>
      <c r="T238" s="228"/>
      <c r="U238" s="222"/>
      <c r="V238" s="222"/>
      <c r="W238" s="228"/>
      <c r="X238" s="228"/>
      <c r="Y238" s="35"/>
    </row>
    <row r="239" spans="1:25" ht="15" customHeight="1" x14ac:dyDescent="0.25">
      <c r="A239" s="74"/>
      <c r="B239" s="153" t="s">
        <v>494</v>
      </c>
      <c r="C239" s="18" t="s">
        <v>432</v>
      </c>
      <c r="D239" s="22">
        <v>12</v>
      </c>
      <c r="E239" s="15">
        <f>650*50%</f>
        <v>325</v>
      </c>
      <c r="F239" s="34">
        <f t="shared" si="14"/>
        <v>3900</v>
      </c>
      <c r="G239" s="35">
        <f t="shared" si="15"/>
        <v>3900</v>
      </c>
      <c r="H239" s="239"/>
      <c r="I239" s="239"/>
      <c r="J239" s="239"/>
      <c r="K239" s="239"/>
      <c r="L239" s="239"/>
      <c r="M239" s="239"/>
      <c r="N239" s="239"/>
      <c r="O239" s="239"/>
      <c r="P239" s="239"/>
      <c r="Q239" s="250"/>
      <c r="R239" s="261"/>
      <c r="S239" s="222"/>
      <c r="T239" s="228"/>
      <c r="U239" s="222"/>
      <c r="V239" s="222"/>
      <c r="W239" s="228"/>
      <c r="X239" s="228"/>
      <c r="Y239" s="35"/>
    </row>
    <row r="240" spans="1:25" ht="15" customHeight="1" x14ac:dyDescent="0.25">
      <c r="A240" s="74"/>
      <c r="B240" s="153" t="s">
        <v>495</v>
      </c>
      <c r="C240" s="18" t="s">
        <v>432</v>
      </c>
      <c r="D240" s="22">
        <f>12*3</f>
        <v>36</v>
      </c>
      <c r="E240" s="15">
        <f>250*50%</f>
        <v>125</v>
      </c>
      <c r="F240" s="34">
        <f t="shared" si="14"/>
        <v>4500</v>
      </c>
      <c r="G240" s="35">
        <f t="shared" si="15"/>
        <v>4500</v>
      </c>
      <c r="H240" s="239"/>
      <c r="I240" s="239"/>
      <c r="J240" s="239"/>
      <c r="K240" s="239"/>
      <c r="L240" s="239"/>
      <c r="M240" s="239"/>
      <c r="N240" s="239"/>
      <c r="O240" s="239"/>
      <c r="P240" s="239"/>
      <c r="Q240" s="250"/>
      <c r="R240" s="261"/>
      <c r="S240" s="222">
        <f>R240-F240</f>
        <v>-4500</v>
      </c>
      <c r="T240" s="228">
        <f>IF(F240=0,0,S240/F240)</f>
        <v>-1</v>
      </c>
      <c r="U240" s="222">
        <f>R240*$C$4</f>
        <v>0</v>
      </c>
      <c r="V240" s="222">
        <f>U240-G240</f>
        <v>-4500</v>
      </c>
      <c r="W240" s="228">
        <f>IF(G240=0,0,V240/G240)</f>
        <v>-1</v>
      </c>
      <c r="X240" s="228"/>
      <c r="Y240" s="35"/>
    </row>
    <row r="241" spans="1:25" ht="15" customHeight="1" x14ac:dyDescent="0.25">
      <c r="A241" s="74"/>
      <c r="B241" s="186" t="s">
        <v>39</v>
      </c>
      <c r="C241" s="6"/>
      <c r="D241" s="7"/>
      <c r="E241" s="8"/>
      <c r="F241" s="34"/>
      <c r="G241" s="35"/>
      <c r="H241" s="239"/>
      <c r="I241" s="239"/>
      <c r="J241" s="239"/>
      <c r="K241" s="239"/>
      <c r="L241" s="239"/>
      <c r="M241" s="239"/>
      <c r="N241" s="239"/>
      <c r="O241" s="239"/>
      <c r="P241" s="239"/>
      <c r="Q241" s="250"/>
      <c r="R241" s="256"/>
      <c r="S241" s="222"/>
      <c r="T241" s="228"/>
      <c r="U241" s="222"/>
      <c r="V241" s="222"/>
      <c r="W241" s="228"/>
      <c r="X241" s="228"/>
      <c r="Y241" s="35"/>
    </row>
    <row r="242" spans="1:25" ht="15" customHeight="1" x14ac:dyDescent="0.25">
      <c r="A242" s="74"/>
      <c r="B242" s="141" t="s">
        <v>496</v>
      </c>
      <c r="C242" s="18" t="s">
        <v>432</v>
      </c>
      <c r="D242" s="22">
        <v>12</v>
      </c>
      <c r="E242" s="15">
        <f>1000*20%</f>
        <v>200</v>
      </c>
      <c r="F242" s="34">
        <f>D242*E242</f>
        <v>2400</v>
      </c>
      <c r="G242" s="35">
        <f>F242*C4</f>
        <v>2400</v>
      </c>
      <c r="H242" s="239"/>
      <c r="I242" s="239"/>
      <c r="J242" s="239"/>
      <c r="K242" s="239"/>
      <c r="L242" s="239"/>
      <c r="M242" s="239"/>
      <c r="N242" s="239"/>
      <c r="O242" s="239"/>
      <c r="P242" s="239"/>
      <c r="Q242" s="250"/>
      <c r="R242" s="261"/>
      <c r="S242" s="222">
        <f>R242-F242</f>
        <v>-2400</v>
      </c>
      <c r="T242" s="228">
        <f>IF(F242=0,0,S242/F242)</f>
        <v>-1</v>
      </c>
      <c r="U242" s="222">
        <f>R242*$C$4</f>
        <v>0</v>
      </c>
      <c r="V242" s="222">
        <f>U242-G242</f>
        <v>-2400</v>
      </c>
      <c r="W242" s="228">
        <f>IF(G242=0,0,V242/G242)</f>
        <v>-1</v>
      </c>
      <c r="X242" s="228"/>
      <c r="Y242" s="35"/>
    </row>
    <row r="243" spans="1:25" ht="15" customHeight="1" x14ac:dyDescent="0.25">
      <c r="A243" s="74"/>
      <c r="B243" s="141" t="s">
        <v>497</v>
      </c>
      <c r="C243" s="18" t="s">
        <v>432</v>
      </c>
      <c r="D243" s="22">
        <v>12</v>
      </c>
      <c r="E243" s="15">
        <v>50</v>
      </c>
      <c r="F243" s="34">
        <f>D243*E243</f>
        <v>600</v>
      </c>
      <c r="G243" s="35">
        <f>F243*C4</f>
        <v>600</v>
      </c>
      <c r="H243" s="239"/>
      <c r="I243" s="239"/>
      <c r="J243" s="239"/>
      <c r="K243" s="239"/>
      <c r="L243" s="239"/>
      <c r="M243" s="239"/>
      <c r="N243" s="239"/>
      <c r="O243" s="239"/>
      <c r="P243" s="239"/>
      <c r="Q243" s="250"/>
      <c r="R243" s="261"/>
      <c r="S243" s="222">
        <f>R243-F243</f>
        <v>-600</v>
      </c>
      <c r="T243" s="228">
        <f>IF(F243=0,0,S243/F243)</f>
        <v>-1</v>
      </c>
      <c r="U243" s="222">
        <f>R243*$C$4</f>
        <v>0</v>
      </c>
      <c r="V243" s="222">
        <f>U243-G243</f>
        <v>-600</v>
      </c>
      <c r="W243" s="228">
        <f>IF(G243=0,0,V243/G243)</f>
        <v>-1</v>
      </c>
      <c r="X243" s="228"/>
      <c r="Y243" s="35"/>
    </row>
    <row r="244" spans="1:25" ht="15" customHeight="1" x14ac:dyDescent="0.25">
      <c r="A244" s="74"/>
      <c r="B244" s="141" t="s">
        <v>42</v>
      </c>
      <c r="C244" s="18" t="s">
        <v>432</v>
      </c>
      <c r="D244" s="22">
        <v>12</v>
      </c>
      <c r="E244" s="15">
        <v>50</v>
      </c>
      <c r="F244" s="34">
        <f>D244*E244</f>
        <v>600</v>
      </c>
      <c r="G244" s="35">
        <f>F244*C4</f>
        <v>600</v>
      </c>
      <c r="H244" s="239"/>
      <c r="I244" s="239"/>
      <c r="J244" s="239"/>
      <c r="K244" s="239"/>
      <c r="L244" s="239"/>
      <c r="M244" s="239"/>
      <c r="N244" s="239"/>
      <c r="O244" s="239"/>
      <c r="P244" s="239"/>
      <c r="Q244" s="250"/>
      <c r="R244" s="261"/>
      <c r="S244" s="222">
        <f>R244-F244</f>
        <v>-600</v>
      </c>
      <c r="T244" s="228">
        <f>IF(F244=0,0,S244/F244)</f>
        <v>-1</v>
      </c>
      <c r="U244" s="222">
        <f>R244*$C$4</f>
        <v>0</v>
      </c>
      <c r="V244" s="222">
        <f>U244-G244</f>
        <v>-600</v>
      </c>
      <c r="W244" s="228">
        <f>IF(G244=0,0,V244/G244)</f>
        <v>-1</v>
      </c>
      <c r="X244" s="228"/>
      <c r="Y244" s="35"/>
    </row>
    <row r="245" spans="1:25" ht="15" customHeight="1" x14ac:dyDescent="0.25">
      <c r="A245" s="74"/>
      <c r="B245" s="186" t="s">
        <v>43</v>
      </c>
      <c r="C245" s="6"/>
      <c r="D245" s="7"/>
      <c r="E245" s="8"/>
      <c r="F245" s="34"/>
      <c r="G245" s="35"/>
      <c r="H245" s="239"/>
      <c r="I245" s="239"/>
      <c r="J245" s="239"/>
      <c r="K245" s="239"/>
      <c r="L245" s="239"/>
      <c r="M245" s="239"/>
      <c r="N245" s="239"/>
      <c r="O245" s="239"/>
      <c r="P245" s="239"/>
      <c r="Q245" s="250"/>
      <c r="R245" s="256"/>
      <c r="S245" s="222"/>
      <c r="T245" s="228"/>
      <c r="U245" s="222"/>
      <c r="V245" s="222"/>
      <c r="W245" s="228"/>
      <c r="X245" s="228"/>
      <c r="Y245" s="35"/>
    </row>
    <row r="246" spans="1:25" ht="15" customHeight="1" x14ac:dyDescent="0.25">
      <c r="A246" s="74"/>
      <c r="B246" s="141" t="s">
        <v>44</v>
      </c>
      <c r="C246" s="18" t="s">
        <v>432</v>
      </c>
      <c r="D246" s="22">
        <v>12</v>
      </c>
      <c r="E246" s="15">
        <v>100</v>
      </c>
      <c r="F246" s="34">
        <f>D246*E246</f>
        <v>1200</v>
      </c>
      <c r="G246" s="35">
        <f>F246*C4</f>
        <v>1200</v>
      </c>
      <c r="H246" s="239"/>
      <c r="I246" s="239"/>
      <c r="J246" s="239"/>
      <c r="K246" s="239"/>
      <c r="L246" s="239"/>
      <c r="M246" s="239"/>
      <c r="N246" s="239"/>
      <c r="O246" s="239"/>
      <c r="P246" s="239"/>
      <c r="Q246" s="250"/>
      <c r="R246" s="261"/>
      <c r="S246" s="222">
        <f>R246-F246</f>
        <v>-1200</v>
      </c>
      <c r="T246" s="228">
        <f>IF(F246=0,0,S246/F246)</f>
        <v>-1</v>
      </c>
      <c r="U246" s="222">
        <f>R246*$C$4</f>
        <v>0</v>
      </c>
      <c r="V246" s="222">
        <f>U246-G246</f>
        <v>-1200</v>
      </c>
      <c r="W246" s="228">
        <f>IF(G246=0,0,V246/G246)</f>
        <v>-1</v>
      </c>
      <c r="X246" s="228"/>
      <c r="Y246" s="35"/>
    </row>
    <row r="247" spans="1:25" ht="15" customHeight="1" x14ac:dyDescent="0.25">
      <c r="A247" s="74"/>
      <c r="B247" s="186" t="s">
        <v>45</v>
      </c>
      <c r="C247" s="5"/>
      <c r="D247" s="5"/>
      <c r="E247" s="5"/>
      <c r="F247" s="172"/>
      <c r="G247" s="35"/>
      <c r="H247" s="239"/>
      <c r="I247" s="239"/>
      <c r="J247" s="239"/>
      <c r="K247" s="239"/>
      <c r="L247" s="239"/>
      <c r="M247" s="239"/>
      <c r="N247" s="239"/>
      <c r="O247" s="239"/>
      <c r="P247" s="239"/>
      <c r="Q247" s="250"/>
      <c r="R247" s="256"/>
      <c r="S247" s="222"/>
      <c r="T247" s="228"/>
      <c r="U247" s="222"/>
      <c r="V247" s="222"/>
      <c r="W247" s="228"/>
      <c r="X247" s="228"/>
      <c r="Y247" s="35"/>
    </row>
    <row r="248" spans="1:25" ht="15" customHeight="1" x14ac:dyDescent="0.25">
      <c r="A248" s="74"/>
      <c r="B248" s="141" t="s">
        <v>498</v>
      </c>
      <c r="C248" s="18" t="s">
        <v>482</v>
      </c>
      <c r="D248" s="22">
        <v>1</v>
      </c>
      <c r="E248" s="15">
        <v>1000</v>
      </c>
      <c r="F248" s="34">
        <f>D248*E248</f>
        <v>1000</v>
      </c>
      <c r="G248" s="35">
        <f>F248*C4</f>
        <v>1000</v>
      </c>
      <c r="H248" s="239"/>
      <c r="I248" s="239"/>
      <c r="J248" s="239"/>
      <c r="K248" s="239"/>
      <c r="L248" s="239"/>
      <c r="M248" s="239"/>
      <c r="N248" s="239"/>
      <c r="O248" s="239"/>
      <c r="P248" s="239"/>
      <c r="Q248" s="250"/>
      <c r="R248" s="261"/>
      <c r="S248" s="222">
        <f>R248-F248</f>
        <v>-1000</v>
      </c>
      <c r="T248" s="228">
        <f>IF(F248=0,0,S248/F248)</f>
        <v>-1</v>
      </c>
      <c r="U248" s="222">
        <f>R248*$C$4</f>
        <v>0</v>
      </c>
      <c r="V248" s="222">
        <f>U248-G248</f>
        <v>-1000</v>
      </c>
      <c r="W248" s="228">
        <f>IF(G248=0,0,V248/G248)</f>
        <v>-1</v>
      </c>
      <c r="X248" s="228"/>
      <c r="Y248" s="35"/>
    </row>
    <row r="249" spans="1:25" ht="15" customHeight="1" x14ac:dyDescent="0.25">
      <c r="A249" s="74"/>
      <c r="B249" s="153"/>
      <c r="C249" s="6"/>
      <c r="D249" s="7"/>
      <c r="E249" s="8"/>
      <c r="F249" s="34"/>
      <c r="G249" s="35"/>
      <c r="H249" s="239"/>
      <c r="I249" s="239"/>
      <c r="J249" s="239"/>
      <c r="K249" s="239"/>
      <c r="L249" s="239"/>
      <c r="M249" s="239"/>
      <c r="N249" s="239"/>
      <c r="O249" s="239"/>
      <c r="P249" s="239"/>
      <c r="Q249" s="250"/>
      <c r="R249" s="256"/>
      <c r="S249" s="222"/>
      <c r="T249" s="228"/>
      <c r="U249" s="222"/>
      <c r="V249" s="222"/>
      <c r="W249" s="228"/>
      <c r="X249" s="228"/>
      <c r="Y249" s="35"/>
    </row>
    <row r="250" spans="1:25" ht="15" customHeight="1" x14ac:dyDescent="0.25">
      <c r="A250" s="181"/>
      <c r="B250" s="181" t="s">
        <v>62</v>
      </c>
      <c r="C250" s="183"/>
      <c r="D250" s="182"/>
      <c r="E250" s="184"/>
      <c r="F250" s="262">
        <f>SUM(F234:F248)</f>
        <v>55690</v>
      </c>
      <c r="G250" s="409">
        <f>SUM(G234:G248)</f>
        <v>55690</v>
      </c>
      <c r="H250" s="242"/>
      <c r="I250" s="242"/>
      <c r="J250" s="242"/>
      <c r="K250" s="242"/>
      <c r="L250" s="242"/>
      <c r="M250" s="242"/>
      <c r="N250" s="242"/>
      <c r="O250" s="242"/>
      <c r="P250" s="242"/>
      <c r="Q250" s="253"/>
      <c r="R250" s="112"/>
      <c r="S250" s="223">
        <f>R250-F250</f>
        <v>-55690</v>
      </c>
      <c r="T250" s="233">
        <f>IF(F250=0,0,S250/F250)</f>
        <v>-1</v>
      </c>
      <c r="U250" s="223">
        <f>R250*$C$4</f>
        <v>0</v>
      </c>
      <c r="V250" s="223">
        <f>U250-G250</f>
        <v>-55690</v>
      </c>
      <c r="W250" s="233">
        <f>IF(G250=0,0,V250/G250)</f>
        <v>-1</v>
      </c>
      <c r="X250" s="233"/>
      <c r="Y250" s="35"/>
    </row>
    <row r="251" spans="1:25" ht="15" customHeight="1" x14ac:dyDescent="0.25">
      <c r="A251" s="150"/>
      <c r="B251" s="150"/>
      <c r="C251" s="122"/>
      <c r="D251" s="126"/>
      <c r="E251" s="127"/>
      <c r="F251" s="43">
        <f>(F250/F253)</f>
        <v>7.4447392870749751E-2</v>
      </c>
      <c r="G251" s="43">
        <f>(G250/G253)</f>
        <v>7.4447392870749751E-2</v>
      </c>
      <c r="H251" s="244"/>
      <c r="I251" s="245"/>
      <c r="J251" s="245"/>
      <c r="K251" s="245"/>
      <c r="L251" s="245"/>
      <c r="M251" s="245"/>
      <c r="N251" s="245"/>
      <c r="O251" s="245"/>
      <c r="P251" s="245"/>
      <c r="Q251" s="245"/>
      <c r="R251" s="225"/>
      <c r="S251" s="225"/>
      <c r="T251" s="225"/>
      <c r="U251" s="225"/>
      <c r="V251" s="225"/>
      <c r="W251" s="225"/>
      <c r="X251" s="225"/>
      <c r="Y251" s="39"/>
    </row>
    <row r="252" spans="1:25" ht="15" customHeight="1" x14ac:dyDescent="0.25">
      <c r="A252" s="150"/>
      <c r="B252" s="150"/>
      <c r="C252" s="122"/>
      <c r="D252" s="126"/>
      <c r="E252" s="127"/>
      <c r="F252" s="225"/>
      <c r="G252" s="225"/>
      <c r="H252" s="244"/>
      <c r="I252" s="245"/>
      <c r="J252" s="245"/>
      <c r="K252" s="245"/>
      <c r="L252" s="245"/>
      <c r="M252" s="245"/>
      <c r="N252" s="245"/>
      <c r="O252" s="245"/>
      <c r="P252" s="245"/>
      <c r="Q252" s="245"/>
      <c r="R252" s="225"/>
      <c r="S252" s="225"/>
      <c r="T252" s="225"/>
      <c r="U252" s="225"/>
      <c r="V252" s="225"/>
      <c r="W252" s="225"/>
      <c r="X252" s="225"/>
      <c r="Y252" s="39"/>
    </row>
    <row r="253" spans="1:25" ht="15" customHeight="1" thickBot="1" x14ac:dyDescent="0.3">
      <c r="A253" s="74"/>
      <c r="B253" s="74" t="s">
        <v>27</v>
      </c>
      <c r="C253" s="443"/>
      <c r="D253" s="444"/>
      <c r="E253" s="445"/>
      <c r="F253" s="625">
        <f>SUM(F230+F250)</f>
        <v>748045</v>
      </c>
      <c r="G253" s="625">
        <f>SUM(G230+G250)</f>
        <v>748045</v>
      </c>
      <c r="H253" s="241"/>
      <c r="I253" s="241"/>
      <c r="J253" s="241"/>
      <c r="K253" s="241"/>
      <c r="L253" s="241"/>
      <c r="M253" s="241"/>
      <c r="N253" s="241"/>
      <c r="O253" s="241"/>
      <c r="P253" s="241"/>
      <c r="Q253" s="241"/>
      <c r="R253" s="179"/>
      <c r="S253" s="179"/>
      <c r="T253" s="179"/>
      <c r="U253" s="179"/>
      <c r="V253" s="179"/>
      <c r="W253" s="179"/>
      <c r="X253" s="179"/>
      <c r="Y253" s="35"/>
    </row>
    <row r="254" spans="1:25" ht="15" customHeight="1" thickTop="1" x14ac:dyDescent="0.25">
      <c r="A254" s="74"/>
      <c r="B254" s="35"/>
      <c r="C254" s="443"/>
      <c r="D254" s="444"/>
      <c r="E254" s="445"/>
      <c r="F254" s="650"/>
      <c r="G254" s="770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"/>
      <c r="S254" s="1"/>
      <c r="T254" s="1"/>
      <c r="U254" s="1"/>
      <c r="V254" s="1"/>
      <c r="W254" s="1"/>
      <c r="X254" s="1"/>
      <c r="Y254" s="35"/>
    </row>
    <row r="255" spans="1:25" ht="15" customHeight="1" thickBot="1" x14ac:dyDescent="0.3">
      <c r="A255" s="74" t="s">
        <v>36</v>
      </c>
      <c r="B255" s="39"/>
      <c r="C255" s="443"/>
      <c r="D255" s="444"/>
      <c r="E255" s="445"/>
      <c r="F255" s="1">
        <f>F253*0.03</f>
        <v>22441.35</v>
      </c>
      <c r="G255" s="1">
        <f>G253*0.03</f>
        <v>22441.35</v>
      </c>
      <c r="H255" s="196"/>
      <c r="I255" s="196"/>
      <c r="J255" s="196"/>
      <c r="K255" s="196"/>
      <c r="L255" s="196"/>
      <c r="M255" s="196"/>
      <c r="N255" s="196"/>
      <c r="O255" s="196"/>
      <c r="P255" s="196"/>
      <c r="Q255" s="196"/>
      <c r="R255" s="226"/>
      <c r="S255" s="226"/>
      <c r="T255" s="226"/>
      <c r="U255" s="226"/>
      <c r="V255" s="226"/>
      <c r="W255" s="226"/>
      <c r="X255" s="125"/>
      <c r="Y255" s="35"/>
    </row>
    <row r="256" spans="1:25" ht="15" customHeight="1" x14ac:dyDescent="0.25">
      <c r="A256" s="74"/>
      <c r="B256" s="35"/>
      <c r="C256" s="443"/>
      <c r="D256" s="444"/>
      <c r="E256" s="445"/>
      <c r="F256" s="650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</row>
    <row r="257" spans="1:25" ht="15" customHeight="1" thickBot="1" x14ac:dyDescent="0.3">
      <c r="A257" s="117"/>
      <c r="B257" s="117" t="s">
        <v>28</v>
      </c>
      <c r="C257" s="491"/>
      <c r="D257" s="628"/>
      <c r="E257" s="629"/>
      <c r="F257" s="647">
        <f>SUM(F255+F253)</f>
        <v>770486.35</v>
      </c>
      <c r="G257" s="647">
        <f>SUM(G255+G253)</f>
        <v>770486.35</v>
      </c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</row>
    <row r="258" spans="1:25" ht="15" customHeight="1" x14ac:dyDescent="0.25">
      <c r="A258" s="74"/>
      <c r="B258" s="35"/>
      <c r="C258" s="443"/>
      <c r="D258" s="444"/>
      <c r="E258" s="445"/>
      <c r="F258" s="650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</row>
    <row r="259" spans="1:25" ht="15" customHeight="1" thickBot="1" x14ac:dyDescent="0.3">
      <c r="A259" s="191" t="s">
        <v>24</v>
      </c>
      <c r="B259" s="192"/>
      <c r="C259" s="632"/>
      <c r="D259" s="633"/>
      <c r="E259" s="634"/>
      <c r="F259" s="635">
        <f>SUM(F257-F83)</f>
        <v>770486.35</v>
      </c>
      <c r="G259" s="635">
        <f>SUM(G257-G83)</f>
        <v>770486.35</v>
      </c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</row>
    <row r="260" spans="1:25" ht="15" customHeight="1" thickTop="1" x14ac:dyDescent="0.25">
      <c r="A260" s="74" t="s">
        <v>15</v>
      </c>
      <c r="B260" s="35"/>
      <c r="C260" s="75"/>
      <c r="D260" s="76"/>
      <c r="E260" s="77"/>
      <c r="F260" s="78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</row>
    <row r="261" spans="1:25" ht="15" customHeight="1" x14ac:dyDescent="0.25">
      <c r="A261" s="74"/>
      <c r="B261" s="35"/>
      <c r="C261" s="75"/>
      <c r="D261" s="76"/>
      <c r="E261" s="77"/>
      <c r="F261" s="78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</row>
    <row r="262" spans="1:25" ht="15" customHeight="1" x14ac:dyDescent="0.4">
      <c r="A262" s="74"/>
      <c r="B262" s="197" t="s">
        <v>16</v>
      </c>
      <c r="C262" s="75"/>
      <c r="D262" s="198" t="s">
        <v>26</v>
      </c>
      <c r="E262" s="77"/>
      <c r="F262" s="850" t="s">
        <v>17</v>
      </c>
      <c r="G262" s="851"/>
      <c r="H262" s="199"/>
      <c r="I262" s="199"/>
      <c r="J262" s="199"/>
      <c r="K262" s="199"/>
      <c r="L262" s="199"/>
      <c r="M262" s="199"/>
      <c r="N262" s="199"/>
      <c r="O262" s="199"/>
      <c r="P262" s="199"/>
      <c r="Q262" s="199"/>
      <c r="R262" s="199"/>
      <c r="S262" s="199"/>
      <c r="T262" s="199"/>
      <c r="U262" s="199"/>
      <c r="V262" s="199"/>
      <c r="W262" s="199"/>
      <c r="X262" s="199"/>
      <c r="Y262" s="35"/>
    </row>
    <row r="263" spans="1:25" ht="15" customHeight="1" x14ac:dyDescent="0.4">
      <c r="A263" s="74"/>
      <c r="B263" s="35" t="s">
        <v>499</v>
      </c>
      <c r="C263" s="75"/>
      <c r="D263" s="198">
        <v>600</v>
      </c>
      <c r="E263" s="77"/>
      <c r="F263" s="78" t="s">
        <v>500</v>
      </c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</row>
    <row r="264" spans="1:25" ht="15" customHeight="1" x14ac:dyDescent="0.25">
      <c r="A264" s="74"/>
      <c r="B264" s="35" t="s">
        <v>501</v>
      </c>
      <c r="C264" s="75"/>
      <c r="D264" s="76">
        <v>600</v>
      </c>
      <c r="E264" s="77"/>
      <c r="F264" s="78" t="s">
        <v>500</v>
      </c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</row>
    <row r="265" spans="1:25" ht="15" customHeight="1" x14ac:dyDescent="0.25">
      <c r="A265" s="74"/>
      <c r="B265" s="141" t="s">
        <v>502</v>
      </c>
      <c r="C265" s="75"/>
      <c r="D265" s="76">
        <v>0</v>
      </c>
      <c r="E265" s="77"/>
      <c r="F265" s="78" t="s">
        <v>500</v>
      </c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</row>
    <row r="266" spans="1:25" ht="15" customHeight="1" x14ac:dyDescent="0.25">
      <c r="A266" s="74"/>
      <c r="B266" s="35"/>
      <c r="C266" s="75"/>
      <c r="D266" s="76"/>
      <c r="E266" s="77"/>
      <c r="F266" s="78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</row>
    <row r="267" spans="1:25" ht="15" customHeight="1" x14ac:dyDescent="0.25">
      <c r="A267" s="74"/>
      <c r="B267" s="35"/>
      <c r="C267" s="75"/>
      <c r="D267" s="76"/>
      <c r="E267" s="77"/>
      <c r="F267" s="78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</row>
    <row r="268" spans="1:25" ht="15" customHeight="1" x14ac:dyDescent="0.25">
      <c r="A268" s="74"/>
      <c r="B268" s="35"/>
      <c r="C268" s="75"/>
      <c r="D268" s="76"/>
      <c r="E268" s="77"/>
      <c r="F268" s="78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</row>
    <row r="269" spans="1:25" ht="15" customHeight="1" x14ac:dyDescent="0.25">
      <c r="A269" s="74"/>
      <c r="B269" s="35"/>
      <c r="C269" s="75"/>
      <c r="D269" s="76"/>
      <c r="E269" s="77"/>
      <c r="F269" s="78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</row>
  </sheetData>
  <mergeCells count="3">
    <mergeCell ref="A1:G1"/>
    <mergeCell ref="H76:Q76"/>
    <mergeCell ref="F262:G262"/>
  </mergeCells>
  <conditionalFormatting sqref="F251:X252">
    <cfRule type="cellIs" dxfId="1" priority="1" stopIfTrue="1" operator="greaterThan">
      <formula>15</formula>
    </cfRule>
  </conditionalFormatting>
  <pageMargins left="0.7" right="0.7" top="0.75" bottom="0.75" header="0.3" footer="0.3"/>
  <pageSetup paperSize="9" scale="57" fitToHeight="2" orientation="portrait" horizontalDpi="0" verticalDpi="0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65"/>
  <sheetViews>
    <sheetView topLeftCell="A231" workbookViewId="0">
      <selection activeCell="X255" sqref="X255"/>
    </sheetView>
  </sheetViews>
  <sheetFormatPr defaultColWidth="11.44140625" defaultRowHeight="15" customHeight="1" x14ac:dyDescent="0.25"/>
  <cols>
    <col min="2" max="2" width="40" customWidth="1"/>
    <col min="8" max="23" width="0" hidden="1" customWidth="1"/>
    <col min="24" max="24" width="45.33203125" customWidth="1"/>
  </cols>
  <sheetData>
    <row r="1" spans="1:25" ht="15" customHeight="1" x14ac:dyDescent="0.25">
      <c r="A1" s="844" t="s">
        <v>66</v>
      </c>
      <c r="B1" s="845"/>
      <c r="C1" s="845"/>
      <c r="D1" s="845"/>
      <c r="E1" s="845"/>
      <c r="F1" s="845"/>
      <c r="G1" s="846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35"/>
    </row>
    <row r="2" spans="1:25" ht="15" customHeight="1" x14ac:dyDescent="0.25">
      <c r="A2" s="71"/>
      <c r="B2" s="72"/>
      <c r="C2" s="72"/>
      <c r="D2" s="72"/>
      <c r="E2" s="72"/>
      <c r="F2" s="72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35"/>
    </row>
    <row r="3" spans="1:25" ht="15" customHeight="1" x14ac:dyDescent="0.25">
      <c r="A3" s="74" t="s">
        <v>10</v>
      </c>
      <c r="B3" s="35"/>
      <c r="C3" s="75"/>
      <c r="D3" s="76"/>
      <c r="E3" s="77"/>
      <c r="F3" s="78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ht="15" customHeight="1" x14ac:dyDescent="0.25">
      <c r="A4" s="74"/>
      <c r="B4" s="79" t="s">
        <v>25</v>
      </c>
      <c r="C4" s="80">
        <v>1</v>
      </c>
      <c r="D4" s="76"/>
      <c r="E4" s="77"/>
      <c r="F4" s="78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81"/>
    </row>
    <row r="5" spans="1:25" ht="15" customHeight="1" x14ac:dyDescent="0.25">
      <c r="A5" s="74"/>
      <c r="B5" s="82" t="s">
        <v>172</v>
      </c>
      <c r="C5" s="75"/>
      <c r="D5" s="76"/>
      <c r="E5" s="77"/>
      <c r="F5" s="78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ht="15" customHeight="1" x14ac:dyDescent="0.25">
      <c r="A6" s="74"/>
      <c r="B6" s="83"/>
      <c r="C6" s="75"/>
      <c r="D6" s="76"/>
      <c r="E6" s="77"/>
      <c r="F6" s="77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5" ht="15" customHeight="1" x14ac:dyDescent="0.25">
      <c r="A7" s="74" t="s">
        <v>23</v>
      </c>
      <c r="B7" s="35"/>
      <c r="C7" s="75" t="s">
        <v>503</v>
      </c>
      <c r="D7" s="76"/>
      <c r="E7" s="77"/>
      <c r="F7" s="77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25" ht="15" customHeight="1" x14ac:dyDescent="0.3">
      <c r="A8" s="74" t="s">
        <v>67</v>
      </c>
      <c r="B8" s="35"/>
      <c r="C8" s="83" t="s">
        <v>391</v>
      </c>
      <c r="D8" s="76"/>
      <c r="E8" s="77"/>
      <c r="F8" s="77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410"/>
    </row>
    <row r="9" spans="1:25" ht="15" customHeight="1" x14ac:dyDescent="0.25">
      <c r="A9" s="74" t="s">
        <v>68</v>
      </c>
      <c r="B9" s="35"/>
      <c r="C9" s="81" t="str">
        <f>Consolidated!C9</f>
        <v xml:space="preserve">Humanitarian Response for People Affected by the Syrian Conflict </v>
      </c>
      <c r="D9" s="76"/>
      <c r="E9" s="77"/>
      <c r="F9" s="77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ht="15" customHeight="1" x14ac:dyDescent="0.25">
      <c r="A10" s="74" t="s">
        <v>56</v>
      </c>
      <c r="B10" s="35"/>
      <c r="C10" s="75" t="str">
        <f>Consolidated!C10</f>
        <v>January 1st 2019-December 31st 2019</v>
      </c>
      <c r="D10" s="76"/>
      <c r="E10" s="77"/>
      <c r="F10" s="77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25" ht="15" hidden="1" customHeight="1" x14ac:dyDescent="0.25">
      <c r="A11" s="74"/>
      <c r="B11" s="74"/>
      <c r="C11" s="85"/>
      <c r="D11" s="86"/>
      <c r="E11" s="71"/>
      <c r="F11" s="87" t="s">
        <v>69</v>
      </c>
      <c r="G11" s="87" t="s">
        <v>69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8"/>
    </row>
    <row r="12" spans="1:25" ht="15" hidden="1" customHeight="1" x14ac:dyDescent="0.25">
      <c r="A12" s="74"/>
      <c r="B12" s="74"/>
      <c r="C12" s="85"/>
      <c r="D12" s="86"/>
      <c r="E12" s="71"/>
      <c r="F12" s="87" t="s">
        <v>5</v>
      </c>
      <c r="G12" s="87" t="s">
        <v>5</v>
      </c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8"/>
    </row>
    <row r="13" spans="1:25" ht="15" hidden="1" customHeight="1" x14ac:dyDescent="0.25">
      <c r="A13" s="89" t="s">
        <v>47</v>
      </c>
      <c r="B13" s="35"/>
      <c r="C13" s="85"/>
      <c r="D13" s="86"/>
      <c r="E13" s="90"/>
      <c r="F13" s="90" t="s">
        <v>20</v>
      </c>
      <c r="G13" s="91" t="s">
        <v>4</v>
      </c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88"/>
    </row>
    <row r="14" spans="1:25" ht="15" hidden="1" customHeight="1" x14ac:dyDescent="0.25">
      <c r="A14" s="92"/>
      <c r="B14" s="93"/>
      <c r="C14" s="94"/>
      <c r="D14" s="95"/>
      <c r="E14" s="96"/>
      <c r="F14" s="96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</row>
    <row r="15" spans="1:25" ht="15" hidden="1" customHeight="1" x14ac:dyDescent="0.25">
      <c r="A15" s="98"/>
      <c r="B15" s="1"/>
      <c r="C15" s="99"/>
      <c r="D15" s="100"/>
      <c r="E15" s="101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</row>
    <row r="16" spans="1:25" ht="15" hidden="1" customHeight="1" x14ac:dyDescent="0.25">
      <c r="A16" s="103" t="s">
        <v>21</v>
      </c>
      <c r="B16" s="39"/>
      <c r="C16" s="104"/>
      <c r="D16" s="105"/>
      <c r="E16" s="106"/>
      <c r="F16" s="3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15" hidden="1" customHeight="1" x14ac:dyDescent="0.25">
      <c r="A17" s="103" t="s">
        <v>32</v>
      </c>
      <c r="B17" s="108" t="s">
        <v>33</v>
      </c>
      <c r="C17" s="103" t="s">
        <v>174</v>
      </c>
      <c r="D17" s="103" t="s">
        <v>65</v>
      </c>
      <c r="E17" s="106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39"/>
    </row>
    <row r="18" spans="1:25" ht="15" hidden="1" customHeight="1" x14ac:dyDescent="0.25">
      <c r="A18" s="109"/>
      <c r="B18" s="110"/>
      <c r="C18" s="2" t="s">
        <v>175</v>
      </c>
      <c r="D18" s="111"/>
      <c r="E18" s="106"/>
      <c r="F18" s="112">
        <v>0</v>
      </c>
      <c r="G18" s="2">
        <f>F18*C4</f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39"/>
    </row>
    <row r="19" spans="1:25" ht="15" hidden="1" customHeight="1" x14ac:dyDescent="0.25">
      <c r="A19" s="109"/>
      <c r="B19" s="110"/>
      <c r="C19" s="2" t="s">
        <v>176</v>
      </c>
      <c r="D19" s="111"/>
      <c r="E19" s="106"/>
      <c r="F19" s="112">
        <v>0</v>
      </c>
      <c r="G19" s="2">
        <f>F19*C4</f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39"/>
    </row>
    <row r="20" spans="1:25" ht="15" hidden="1" customHeight="1" x14ac:dyDescent="0.25">
      <c r="A20" s="109"/>
      <c r="B20" s="110"/>
      <c r="C20" s="2" t="s">
        <v>177</v>
      </c>
      <c r="D20" s="111"/>
      <c r="E20" s="106"/>
      <c r="F20" s="112">
        <v>0</v>
      </c>
      <c r="G20" s="2">
        <f>F20*C4</f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39"/>
    </row>
    <row r="21" spans="1:25" ht="15" hidden="1" customHeight="1" x14ac:dyDescent="0.25">
      <c r="A21" s="109"/>
      <c r="B21" s="110"/>
      <c r="C21" s="2" t="s">
        <v>178</v>
      </c>
      <c r="D21" s="111"/>
      <c r="E21" s="106"/>
      <c r="F21" s="112">
        <v>0</v>
      </c>
      <c r="G21" s="2">
        <f>F21*C4</f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39"/>
    </row>
    <row r="22" spans="1:25" ht="15" hidden="1" customHeight="1" x14ac:dyDescent="0.25">
      <c r="A22" s="109"/>
      <c r="B22" s="110"/>
      <c r="C22" s="2" t="s">
        <v>179</v>
      </c>
      <c r="D22" s="111"/>
      <c r="E22" s="106"/>
      <c r="F22" s="112">
        <v>0</v>
      </c>
      <c r="G22" s="2">
        <f>F22*C4</f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39"/>
    </row>
    <row r="23" spans="1:25" ht="15" hidden="1" customHeight="1" x14ac:dyDescent="0.25">
      <c r="A23" s="109"/>
      <c r="B23" s="110"/>
      <c r="C23" s="2" t="s">
        <v>180</v>
      </c>
      <c r="D23" s="111"/>
      <c r="E23" s="106"/>
      <c r="F23" s="112">
        <v>0</v>
      </c>
      <c r="G23" s="2">
        <f>F23*C4</f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39"/>
    </row>
    <row r="24" spans="1:25" ht="15" hidden="1" customHeight="1" x14ac:dyDescent="0.25">
      <c r="A24" s="109"/>
      <c r="B24" s="110"/>
      <c r="C24" s="2" t="s">
        <v>181</v>
      </c>
      <c r="D24" s="111"/>
      <c r="E24" s="106"/>
      <c r="F24" s="112">
        <v>0</v>
      </c>
      <c r="G24" s="2">
        <f>F24*C4</f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39"/>
    </row>
    <row r="25" spans="1:25" ht="15" hidden="1" customHeight="1" x14ac:dyDescent="0.25">
      <c r="A25" s="109"/>
      <c r="B25" s="110"/>
      <c r="C25" s="2" t="s">
        <v>182</v>
      </c>
      <c r="D25" s="111"/>
      <c r="E25" s="106"/>
      <c r="F25" s="112">
        <v>0</v>
      </c>
      <c r="G25" s="2">
        <f>F25*C4</f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39"/>
    </row>
    <row r="26" spans="1:25" ht="15" hidden="1" customHeight="1" x14ac:dyDescent="0.25">
      <c r="A26" s="109"/>
      <c r="B26" s="110"/>
      <c r="C26" s="2" t="s">
        <v>183</v>
      </c>
      <c r="D26" s="111"/>
      <c r="E26" s="106"/>
      <c r="F26" s="112">
        <v>0</v>
      </c>
      <c r="G26" s="2">
        <f>F26*C4</f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39"/>
    </row>
    <row r="27" spans="1:25" ht="15" hidden="1" customHeight="1" x14ac:dyDescent="0.25">
      <c r="A27" s="109"/>
      <c r="B27" s="110"/>
      <c r="C27" s="2" t="s">
        <v>184</v>
      </c>
      <c r="D27" s="111"/>
      <c r="E27" s="106"/>
      <c r="F27" s="112">
        <v>0</v>
      </c>
      <c r="G27" s="2">
        <f>F27*C4</f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39"/>
    </row>
    <row r="28" spans="1:25" ht="15" hidden="1" customHeight="1" x14ac:dyDescent="0.25">
      <c r="A28" s="103"/>
      <c r="B28" s="108" t="s">
        <v>173</v>
      </c>
      <c r="C28" s="104"/>
      <c r="D28" s="105"/>
      <c r="E28" s="106"/>
      <c r="F28" s="2">
        <f>SUM(F18:F27)</f>
        <v>0</v>
      </c>
      <c r="G28" s="2">
        <f>SUM(G18:G27)</f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39"/>
    </row>
    <row r="29" spans="1:25" ht="15" hidden="1" customHeight="1" x14ac:dyDescent="0.25">
      <c r="A29" s="103"/>
      <c r="B29" s="113"/>
      <c r="C29" s="104"/>
      <c r="D29" s="105"/>
      <c r="E29" s="106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39"/>
    </row>
    <row r="30" spans="1:25" ht="15" hidden="1" customHeight="1" x14ac:dyDescent="0.25">
      <c r="A30" s="103" t="s">
        <v>34</v>
      </c>
      <c r="B30" s="39"/>
      <c r="C30" s="104"/>
      <c r="D30" s="105"/>
      <c r="E30" s="106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39"/>
    </row>
    <row r="31" spans="1:25" ht="15" hidden="1" customHeight="1" x14ac:dyDescent="0.25">
      <c r="A31" s="103" t="s">
        <v>32</v>
      </c>
      <c r="B31" s="108" t="s">
        <v>33</v>
      </c>
      <c r="C31" s="104" t="s">
        <v>174</v>
      </c>
      <c r="D31" s="105"/>
      <c r="E31" s="106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39"/>
    </row>
    <row r="32" spans="1:25" ht="15" hidden="1" customHeight="1" x14ac:dyDescent="0.25">
      <c r="A32" s="114"/>
      <c r="B32" s="110"/>
      <c r="C32" s="115"/>
      <c r="D32" s="105"/>
      <c r="E32" s="106"/>
      <c r="F32" s="112">
        <v>0</v>
      </c>
      <c r="G32" s="2">
        <f>(C4)*F32</f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39"/>
    </row>
    <row r="33" spans="1:25" ht="15" hidden="1" customHeight="1" x14ac:dyDescent="0.25">
      <c r="A33" s="114"/>
      <c r="B33" s="110"/>
      <c r="C33" s="115"/>
      <c r="D33" s="105"/>
      <c r="E33" s="106"/>
      <c r="F33" s="112">
        <v>0</v>
      </c>
      <c r="G33" s="2">
        <f>F33*C4</f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39"/>
    </row>
    <row r="34" spans="1:25" ht="15" hidden="1" customHeight="1" x14ac:dyDescent="0.25">
      <c r="A34" s="114"/>
      <c r="B34" s="110"/>
      <c r="C34" s="115"/>
      <c r="D34" s="105"/>
      <c r="E34" s="106"/>
      <c r="F34" s="112">
        <v>0</v>
      </c>
      <c r="G34" s="2">
        <f>F34*C4</f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39"/>
    </row>
    <row r="35" spans="1:25" ht="15" hidden="1" customHeight="1" x14ac:dyDescent="0.25">
      <c r="A35" s="114"/>
      <c r="B35" s="110"/>
      <c r="C35" s="115"/>
      <c r="D35" s="105"/>
      <c r="E35" s="106"/>
      <c r="F35" s="112">
        <v>0</v>
      </c>
      <c r="G35" s="2">
        <f>F35*C4</f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39"/>
    </row>
    <row r="36" spans="1:25" ht="15" hidden="1" customHeight="1" x14ac:dyDescent="0.25">
      <c r="A36" s="114"/>
      <c r="B36" s="110"/>
      <c r="C36" s="115"/>
      <c r="D36" s="105"/>
      <c r="E36" s="106"/>
      <c r="F36" s="112">
        <v>0</v>
      </c>
      <c r="G36" s="2">
        <f>F36*C4</f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39"/>
    </row>
    <row r="37" spans="1:25" ht="15" hidden="1" customHeight="1" x14ac:dyDescent="0.25">
      <c r="A37" s="114"/>
      <c r="B37" s="110"/>
      <c r="C37" s="115"/>
      <c r="D37" s="105"/>
      <c r="E37" s="106"/>
      <c r="F37" s="112">
        <v>0</v>
      </c>
      <c r="G37" s="2">
        <f>F37*C4</f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39"/>
    </row>
    <row r="38" spans="1:25" ht="15" hidden="1" customHeight="1" x14ac:dyDescent="0.25">
      <c r="A38" s="114"/>
      <c r="B38" s="110"/>
      <c r="C38" s="115"/>
      <c r="D38" s="105"/>
      <c r="E38" s="106"/>
      <c r="F38" s="112">
        <v>0</v>
      </c>
      <c r="G38" s="2">
        <f>F38*C4</f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39"/>
    </row>
    <row r="39" spans="1:25" ht="15" hidden="1" customHeight="1" x14ac:dyDescent="0.25">
      <c r="A39" s="114"/>
      <c r="B39" s="110"/>
      <c r="C39" s="115"/>
      <c r="D39" s="105"/>
      <c r="E39" s="106"/>
      <c r="F39" s="112">
        <v>0</v>
      </c>
      <c r="G39" s="2">
        <f>F39*C4</f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9"/>
    </row>
    <row r="40" spans="1:25" ht="15" hidden="1" customHeight="1" x14ac:dyDescent="0.25">
      <c r="A40" s="114"/>
      <c r="B40" s="110"/>
      <c r="C40" s="115"/>
      <c r="D40" s="105"/>
      <c r="E40" s="106"/>
      <c r="F40" s="112">
        <v>0</v>
      </c>
      <c r="G40" s="2">
        <f>F40*C4</f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39"/>
    </row>
    <row r="41" spans="1:25" ht="15" hidden="1" customHeight="1" x14ac:dyDescent="0.25">
      <c r="A41" s="114"/>
      <c r="B41" s="110"/>
      <c r="C41" s="115"/>
      <c r="D41" s="105"/>
      <c r="E41" s="106"/>
      <c r="F41" s="112">
        <v>0</v>
      </c>
      <c r="G41" s="2">
        <f>F41*C4</f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39"/>
    </row>
    <row r="42" spans="1:25" ht="15" hidden="1" customHeight="1" x14ac:dyDescent="0.25">
      <c r="A42" s="103"/>
      <c r="B42" s="108" t="s">
        <v>173</v>
      </c>
      <c r="C42" s="104"/>
      <c r="D42" s="105"/>
      <c r="E42" s="106"/>
      <c r="F42" s="2">
        <f>SUM(F32:F41)</f>
        <v>0</v>
      </c>
      <c r="G42" s="2">
        <f>SUM(G32:G41)</f>
        <v>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39"/>
    </row>
    <row r="43" spans="1:25" ht="15" hidden="1" customHeight="1" x14ac:dyDescent="0.25">
      <c r="A43" s="103"/>
      <c r="B43" s="103" t="s">
        <v>64</v>
      </c>
      <c r="C43" s="104"/>
      <c r="D43" s="105"/>
      <c r="E43" s="106"/>
      <c r="F43" s="116">
        <v>0</v>
      </c>
      <c r="G43" s="2">
        <f>F43*C4</f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39"/>
    </row>
    <row r="44" spans="1:25" ht="15" hidden="1" customHeight="1" x14ac:dyDescent="0.25">
      <c r="A44" s="103"/>
      <c r="B44" s="39"/>
      <c r="C44" s="104"/>
      <c r="D44" s="105"/>
      <c r="E44" s="106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39"/>
    </row>
    <row r="45" spans="1:25" ht="15" hidden="1" customHeight="1" x14ac:dyDescent="0.25">
      <c r="A45" s="103" t="s">
        <v>35</v>
      </c>
      <c r="B45" s="39"/>
      <c r="C45" s="104"/>
      <c r="D45" s="105"/>
      <c r="E45" s="106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39"/>
    </row>
    <row r="46" spans="1:25" ht="15" hidden="1" customHeight="1" x14ac:dyDescent="0.25">
      <c r="A46" s="103" t="s">
        <v>32</v>
      </c>
      <c r="B46" s="108" t="s">
        <v>33</v>
      </c>
      <c r="C46" s="104" t="s">
        <v>174</v>
      </c>
      <c r="D46" s="105"/>
      <c r="E46" s="106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39"/>
    </row>
    <row r="47" spans="1:25" ht="15" hidden="1" customHeight="1" x14ac:dyDescent="0.25">
      <c r="A47" s="114"/>
      <c r="B47" s="110"/>
      <c r="C47" s="115"/>
      <c r="D47" s="105"/>
      <c r="E47" s="106"/>
      <c r="F47" s="112">
        <v>0</v>
      </c>
      <c r="G47" s="2">
        <f>F47*C4</f>
        <v>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39"/>
    </row>
    <row r="48" spans="1:25" ht="15" hidden="1" customHeight="1" x14ac:dyDescent="0.25">
      <c r="A48" s="114"/>
      <c r="B48" s="110"/>
      <c r="C48" s="115"/>
      <c r="D48" s="105"/>
      <c r="E48" s="106"/>
      <c r="F48" s="112">
        <v>0</v>
      </c>
      <c r="G48" s="2">
        <f>F48*C4</f>
        <v>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39"/>
    </row>
    <row r="49" spans="1:25" ht="15" hidden="1" customHeight="1" x14ac:dyDescent="0.25">
      <c r="A49" s="114"/>
      <c r="B49" s="110"/>
      <c r="C49" s="115"/>
      <c r="D49" s="105"/>
      <c r="E49" s="106"/>
      <c r="F49" s="112">
        <v>0</v>
      </c>
      <c r="G49" s="2">
        <f>F49*C4</f>
        <v>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39"/>
    </row>
    <row r="50" spans="1:25" ht="15" hidden="1" customHeight="1" x14ac:dyDescent="0.25">
      <c r="A50" s="114"/>
      <c r="B50" s="110"/>
      <c r="C50" s="115"/>
      <c r="D50" s="105"/>
      <c r="E50" s="106"/>
      <c r="F50" s="112">
        <v>0</v>
      </c>
      <c r="G50" s="2">
        <f>F50*C4</f>
        <v>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39"/>
    </row>
    <row r="51" spans="1:25" ht="15" hidden="1" customHeight="1" x14ac:dyDescent="0.25">
      <c r="A51" s="114"/>
      <c r="B51" s="110"/>
      <c r="C51" s="115"/>
      <c r="D51" s="105"/>
      <c r="E51" s="106"/>
      <c r="F51" s="112">
        <v>0</v>
      </c>
      <c r="G51" s="2">
        <f>F51*C4</f>
        <v>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39"/>
    </row>
    <row r="52" spans="1:25" ht="15" hidden="1" customHeight="1" x14ac:dyDescent="0.25">
      <c r="A52" s="114"/>
      <c r="B52" s="110"/>
      <c r="C52" s="115"/>
      <c r="D52" s="105"/>
      <c r="E52" s="106"/>
      <c r="F52" s="112">
        <v>0</v>
      </c>
      <c r="G52" s="2">
        <f>F52*C4</f>
        <v>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39"/>
    </row>
    <row r="53" spans="1:25" ht="15" hidden="1" customHeight="1" x14ac:dyDescent="0.25">
      <c r="A53" s="114"/>
      <c r="B53" s="110"/>
      <c r="C53" s="115"/>
      <c r="D53" s="105"/>
      <c r="E53" s="106"/>
      <c r="F53" s="112">
        <v>0</v>
      </c>
      <c r="G53" s="2">
        <f>F53*C4</f>
        <v>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39"/>
    </row>
    <row r="54" spans="1:25" ht="15" hidden="1" customHeight="1" x14ac:dyDescent="0.25">
      <c r="A54" s="114"/>
      <c r="B54" s="110"/>
      <c r="C54" s="115"/>
      <c r="D54" s="105"/>
      <c r="E54" s="106"/>
      <c r="F54" s="112">
        <v>0</v>
      </c>
      <c r="G54" s="2">
        <f>F54*C4</f>
        <v>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39"/>
    </row>
    <row r="55" spans="1:25" ht="15" hidden="1" customHeight="1" x14ac:dyDescent="0.25">
      <c r="A55" s="114"/>
      <c r="B55" s="110"/>
      <c r="C55" s="115"/>
      <c r="D55" s="105"/>
      <c r="E55" s="106"/>
      <c r="F55" s="112">
        <v>0</v>
      </c>
      <c r="G55" s="2">
        <f>F55*C4</f>
        <v>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39"/>
    </row>
    <row r="56" spans="1:25" ht="15" hidden="1" customHeight="1" x14ac:dyDescent="0.25">
      <c r="A56" s="114"/>
      <c r="B56" s="110"/>
      <c r="C56" s="115"/>
      <c r="D56" s="105"/>
      <c r="E56" s="106"/>
      <c r="F56" s="112">
        <v>0</v>
      </c>
      <c r="G56" s="2">
        <f>F56*C4</f>
        <v>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39"/>
    </row>
    <row r="57" spans="1:25" ht="15" hidden="1" customHeight="1" x14ac:dyDescent="0.25">
      <c r="A57" s="103"/>
      <c r="B57" s="108" t="s">
        <v>173</v>
      </c>
      <c r="C57" s="104"/>
      <c r="D57" s="105"/>
      <c r="E57" s="106"/>
      <c r="F57" s="4">
        <f>SUM(F47:F56)</f>
        <v>0</v>
      </c>
      <c r="G57" s="2">
        <f>SUM(G47:G56)</f>
        <v>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39"/>
    </row>
    <row r="58" spans="1:25" ht="15" hidden="1" customHeight="1" x14ac:dyDescent="0.25">
      <c r="A58" s="103"/>
      <c r="B58" s="39"/>
      <c r="C58" s="104"/>
      <c r="D58" s="105"/>
      <c r="E58" s="106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39"/>
    </row>
    <row r="59" spans="1:25" ht="15" hidden="1" customHeight="1" x14ac:dyDescent="0.25">
      <c r="A59" s="103" t="s">
        <v>22</v>
      </c>
      <c r="B59" s="39"/>
      <c r="C59" s="104"/>
      <c r="D59" s="105"/>
      <c r="E59" s="10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39"/>
    </row>
    <row r="60" spans="1:25" ht="15" hidden="1" customHeight="1" x14ac:dyDescent="0.25">
      <c r="A60" s="103" t="s">
        <v>32</v>
      </c>
      <c r="B60" s="108" t="s">
        <v>33</v>
      </c>
      <c r="C60" s="104" t="s">
        <v>174</v>
      </c>
      <c r="D60" s="105"/>
      <c r="E60" s="106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39"/>
    </row>
    <row r="61" spans="1:25" ht="15" hidden="1" customHeight="1" x14ac:dyDescent="0.25">
      <c r="A61" s="114"/>
      <c r="B61" s="110"/>
      <c r="C61" s="115"/>
      <c r="D61" s="105"/>
      <c r="E61" s="106"/>
      <c r="F61" s="112">
        <v>0</v>
      </c>
      <c r="G61" s="2">
        <f>F61*C4</f>
        <v>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39"/>
    </row>
    <row r="62" spans="1:25" ht="15" hidden="1" customHeight="1" x14ac:dyDescent="0.25">
      <c r="A62" s="114"/>
      <c r="B62" s="110"/>
      <c r="C62" s="115"/>
      <c r="D62" s="105"/>
      <c r="E62" s="106"/>
      <c r="F62" s="112">
        <v>0</v>
      </c>
      <c r="G62" s="2">
        <f>F62*C4</f>
        <v>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39"/>
    </row>
    <row r="63" spans="1:25" ht="15" hidden="1" customHeight="1" x14ac:dyDescent="0.25">
      <c r="A63" s="114"/>
      <c r="B63" s="110"/>
      <c r="C63" s="115"/>
      <c r="D63" s="105"/>
      <c r="E63" s="106"/>
      <c r="F63" s="112">
        <v>0</v>
      </c>
      <c r="G63" s="2">
        <f>F63*C4</f>
        <v>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39"/>
    </row>
    <row r="64" spans="1:25" ht="15" hidden="1" customHeight="1" x14ac:dyDescent="0.25">
      <c r="A64" s="114"/>
      <c r="B64" s="110"/>
      <c r="C64" s="115"/>
      <c r="D64" s="105"/>
      <c r="E64" s="106"/>
      <c r="F64" s="112">
        <v>0</v>
      </c>
      <c r="G64" s="2">
        <f>F64*C4</f>
        <v>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39"/>
    </row>
    <row r="65" spans="1:25" ht="15" hidden="1" customHeight="1" x14ac:dyDescent="0.25">
      <c r="A65" s="114"/>
      <c r="B65" s="110"/>
      <c r="C65" s="115"/>
      <c r="D65" s="105"/>
      <c r="E65" s="106"/>
      <c r="F65" s="112">
        <v>0</v>
      </c>
      <c r="G65" s="2">
        <f>F65*C4</f>
        <v>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39"/>
    </row>
    <row r="66" spans="1:25" ht="15" hidden="1" customHeight="1" x14ac:dyDescent="0.25">
      <c r="A66" s="114"/>
      <c r="B66" s="110"/>
      <c r="C66" s="115"/>
      <c r="D66" s="105"/>
      <c r="E66" s="106"/>
      <c r="F66" s="112">
        <v>0</v>
      </c>
      <c r="G66" s="2">
        <f>F66*C4</f>
        <v>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39"/>
    </row>
    <row r="67" spans="1:25" ht="15" hidden="1" customHeight="1" x14ac:dyDescent="0.25">
      <c r="A67" s="114"/>
      <c r="B67" s="110"/>
      <c r="C67" s="115"/>
      <c r="D67" s="105"/>
      <c r="E67" s="106"/>
      <c r="F67" s="112">
        <v>0</v>
      </c>
      <c r="G67" s="2">
        <f>F67*C4</f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39"/>
    </row>
    <row r="68" spans="1:25" ht="15" hidden="1" customHeight="1" x14ac:dyDescent="0.25">
      <c r="A68" s="114"/>
      <c r="B68" s="110"/>
      <c r="C68" s="115"/>
      <c r="D68" s="105"/>
      <c r="E68" s="106"/>
      <c r="F68" s="112">
        <v>0</v>
      </c>
      <c r="G68" s="2">
        <f>F68*C4</f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39"/>
    </row>
    <row r="69" spans="1:25" ht="15" hidden="1" customHeight="1" x14ac:dyDescent="0.25">
      <c r="A69" s="114"/>
      <c r="B69" s="110"/>
      <c r="C69" s="115"/>
      <c r="D69" s="105"/>
      <c r="E69" s="106"/>
      <c r="F69" s="112">
        <v>0</v>
      </c>
      <c r="G69" s="2">
        <f>F69*C4</f>
        <v>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39"/>
    </row>
    <row r="70" spans="1:25" ht="15" hidden="1" customHeight="1" x14ac:dyDescent="0.25">
      <c r="A70" s="114"/>
      <c r="B70" s="110"/>
      <c r="C70" s="115"/>
      <c r="D70" s="105"/>
      <c r="E70" s="106"/>
      <c r="F70" s="112">
        <v>0</v>
      </c>
      <c r="G70" s="2">
        <f>F70*C4</f>
        <v>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9"/>
    </row>
    <row r="71" spans="1:25" ht="15" hidden="1" customHeight="1" x14ac:dyDescent="0.25">
      <c r="A71" s="103"/>
      <c r="B71" s="108" t="s">
        <v>173</v>
      </c>
      <c r="C71" s="104"/>
      <c r="D71" s="105"/>
      <c r="E71" s="106"/>
      <c r="F71" s="4">
        <f>SUM(F61:F70)</f>
        <v>0</v>
      </c>
      <c r="G71" s="2">
        <f>SUM(G61:G70)</f>
        <v>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39"/>
    </row>
    <row r="72" spans="1:25" ht="15" hidden="1" customHeight="1" x14ac:dyDescent="0.25">
      <c r="A72" s="103"/>
      <c r="B72" s="39"/>
      <c r="C72" s="104"/>
      <c r="D72" s="105"/>
      <c r="E72" s="106"/>
      <c r="F72" s="3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</row>
    <row r="73" spans="1:25" ht="15" hidden="1" customHeight="1" thickBot="1" x14ac:dyDescent="0.3">
      <c r="A73" s="117" t="s">
        <v>3</v>
      </c>
      <c r="B73" s="117"/>
      <c r="C73" s="118"/>
      <c r="D73" s="119"/>
      <c r="E73" s="120"/>
      <c r="F73" s="29">
        <f>SUM(F28+F42+F43+F57+F71)</f>
        <v>0</v>
      </c>
      <c r="G73" s="29">
        <f>SUM(G28+G42+G43+G57+G71)</f>
        <v>0</v>
      </c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39"/>
    </row>
    <row r="74" spans="1:25" ht="15" hidden="1" customHeight="1" x14ac:dyDescent="0.25">
      <c r="A74" s="103"/>
      <c r="B74" s="103"/>
      <c r="C74" s="122"/>
      <c r="D74" s="123"/>
      <c r="E74" s="124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39"/>
    </row>
    <row r="75" spans="1:25" ht="15" customHeight="1" thickBot="1" x14ac:dyDescent="0.3">
      <c r="A75" s="74" t="s">
        <v>6</v>
      </c>
      <c r="B75" s="103"/>
      <c r="C75" s="122"/>
      <c r="D75" s="126"/>
      <c r="E75" s="127"/>
      <c r="F75" s="3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6" spans="1:25" ht="15" customHeight="1" thickBot="1" x14ac:dyDescent="0.3">
      <c r="A76" s="35"/>
      <c r="B76" s="74" t="s">
        <v>306</v>
      </c>
      <c r="C76" s="85" t="s">
        <v>30</v>
      </c>
      <c r="D76" s="86" t="s">
        <v>31</v>
      </c>
      <c r="E76" s="71" t="s">
        <v>0</v>
      </c>
      <c r="F76" s="87" t="s">
        <v>69</v>
      </c>
      <c r="G76" s="87" t="s">
        <v>69</v>
      </c>
      <c r="H76" s="847" t="s">
        <v>185</v>
      </c>
      <c r="I76" s="848"/>
      <c r="J76" s="848"/>
      <c r="K76" s="848"/>
      <c r="L76" s="848"/>
      <c r="M76" s="848"/>
      <c r="N76" s="848"/>
      <c r="O76" s="848"/>
      <c r="P76" s="848"/>
      <c r="Q76" s="849"/>
      <c r="R76" s="87" t="s">
        <v>302</v>
      </c>
      <c r="S76" s="87" t="s">
        <v>303</v>
      </c>
      <c r="T76" s="87" t="s">
        <v>303</v>
      </c>
      <c r="U76" s="87" t="s">
        <v>302</v>
      </c>
      <c r="V76" s="87" t="s">
        <v>303</v>
      </c>
      <c r="W76" s="91" t="s">
        <v>303</v>
      </c>
      <c r="X76" s="91" t="s">
        <v>305</v>
      </c>
      <c r="Y76" s="35"/>
    </row>
    <row r="77" spans="1:25" ht="15" customHeight="1" thickBot="1" x14ac:dyDescent="0.3">
      <c r="A77" s="35"/>
      <c r="B77" s="74"/>
      <c r="C77" s="85"/>
      <c r="D77" s="86"/>
      <c r="E77" s="71"/>
      <c r="F77" s="87" t="s">
        <v>5</v>
      </c>
      <c r="G77" s="87" t="s">
        <v>5</v>
      </c>
      <c r="H77" s="128" t="s">
        <v>175</v>
      </c>
      <c r="I77" s="128" t="s">
        <v>176</v>
      </c>
      <c r="J77" s="128" t="s">
        <v>177</v>
      </c>
      <c r="K77" s="128" t="s">
        <v>178</v>
      </c>
      <c r="L77" s="128" t="s">
        <v>179</v>
      </c>
      <c r="M77" s="128" t="s">
        <v>180</v>
      </c>
      <c r="N77" s="128" t="s">
        <v>181</v>
      </c>
      <c r="O77" s="128" t="s">
        <v>182</v>
      </c>
      <c r="P77" s="128" t="s">
        <v>183</v>
      </c>
      <c r="Q77" s="128" t="s">
        <v>184</v>
      </c>
      <c r="R77" s="90"/>
      <c r="S77" s="87"/>
      <c r="T77" s="87"/>
      <c r="U77" s="87"/>
      <c r="V77" s="87"/>
      <c r="W77" s="88"/>
      <c r="X77" s="88"/>
      <c r="Y77" s="35"/>
    </row>
    <row r="78" spans="1:25" ht="15" customHeight="1" x14ac:dyDescent="0.25">
      <c r="A78" s="74"/>
      <c r="B78" s="74"/>
      <c r="C78" s="85" t="s">
        <v>1</v>
      </c>
      <c r="D78" s="86" t="s">
        <v>2</v>
      </c>
      <c r="E78" s="90" t="s">
        <v>20</v>
      </c>
      <c r="F78" s="90" t="s">
        <v>20</v>
      </c>
      <c r="G78" s="91" t="s">
        <v>4</v>
      </c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90" t="s">
        <v>20</v>
      </c>
      <c r="S78" s="90" t="s">
        <v>20</v>
      </c>
      <c r="T78" s="219" t="s">
        <v>304</v>
      </c>
      <c r="U78" s="219" t="s">
        <v>4</v>
      </c>
      <c r="V78" s="219" t="s">
        <v>4</v>
      </c>
      <c r="W78" s="91" t="s">
        <v>304</v>
      </c>
      <c r="X78" s="91"/>
      <c r="Y78" s="35"/>
    </row>
    <row r="79" spans="1:25" ht="15" customHeight="1" x14ac:dyDescent="0.25">
      <c r="A79" s="74" t="s">
        <v>83</v>
      </c>
      <c r="B79" s="74"/>
      <c r="C79" s="85"/>
      <c r="D79" s="86"/>
      <c r="E79" s="90"/>
      <c r="F79" s="90"/>
      <c r="G79" s="91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20"/>
      <c r="S79" s="220"/>
      <c r="T79" s="220"/>
      <c r="U79" s="220"/>
      <c r="V79" s="220"/>
      <c r="W79" s="220"/>
      <c r="X79" s="220"/>
      <c r="Y79" s="35"/>
    </row>
    <row r="80" spans="1:25" ht="15" customHeight="1" x14ac:dyDescent="0.25">
      <c r="A80" s="129">
        <v>1</v>
      </c>
      <c r="B80" s="130" t="s">
        <v>84</v>
      </c>
      <c r="C80" s="134"/>
      <c r="D80" s="133"/>
      <c r="E80" s="135"/>
      <c r="F80" s="404"/>
      <c r="G80" s="137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21"/>
      <c r="S80" s="221"/>
      <c r="T80" s="221"/>
      <c r="U80" s="221"/>
      <c r="V80" s="221"/>
      <c r="W80" s="221"/>
      <c r="X80" s="221"/>
      <c r="Y80" s="35"/>
    </row>
    <row r="81" spans="1:25" ht="15" customHeight="1" x14ac:dyDescent="0.25">
      <c r="A81" s="200">
        <v>1.1000000000000001</v>
      </c>
      <c r="B81" s="113" t="s">
        <v>87</v>
      </c>
      <c r="C81" s="836" t="s">
        <v>939</v>
      </c>
      <c r="D81" s="22">
        <v>5</v>
      </c>
      <c r="E81" s="15">
        <v>4000</v>
      </c>
      <c r="F81" s="34">
        <f t="shared" ref="F81" si="0">D81*E81</f>
        <v>20000</v>
      </c>
      <c r="G81" s="32">
        <f>F81*C4</f>
        <v>20000</v>
      </c>
      <c r="H81" s="240"/>
      <c r="I81" s="240"/>
      <c r="J81" s="240"/>
      <c r="K81" s="240"/>
      <c r="L81" s="240"/>
      <c r="M81" s="240"/>
      <c r="N81" s="240"/>
      <c r="O81" s="240"/>
      <c r="P81" s="240"/>
      <c r="Q81" s="249"/>
      <c r="R81" s="263"/>
      <c r="S81" s="222">
        <f>R81-F81</f>
        <v>-20000</v>
      </c>
      <c r="T81" s="228">
        <f>IF(F81=0,0,S81/F81)</f>
        <v>-1</v>
      </c>
      <c r="U81" s="222">
        <f>R81*$C$4</f>
        <v>0</v>
      </c>
      <c r="V81" s="222">
        <f>U81-G81</f>
        <v>-20000</v>
      </c>
      <c r="W81" s="228">
        <f>IF(G81=0,0,V81/G81)</f>
        <v>-1</v>
      </c>
      <c r="X81" s="837" t="s">
        <v>940</v>
      </c>
      <c r="Y81" s="35"/>
    </row>
    <row r="82" spans="1:25" ht="15" customHeight="1" x14ac:dyDescent="0.25">
      <c r="A82" s="103" t="s">
        <v>110</v>
      </c>
      <c r="B82" s="113"/>
      <c r="C82" s="4"/>
      <c r="D82" s="139"/>
      <c r="E82" s="3"/>
      <c r="F82" s="3"/>
      <c r="G82" s="32"/>
      <c r="H82" s="239"/>
      <c r="I82" s="239"/>
      <c r="J82" s="239"/>
      <c r="K82" s="239"/>
      <c r="L82" s="239"/>
      <c r="M82" s="239"/>
      <c r="N82" s="239"/>
      <c r="O82" s="239"/>
      <c r="P82" s="239"/>
      <c r="Q82" s="250"/>
      <c r="R82" s="255"/>
      <c r="S82" s="222"/>
      <c r="T82" s="228"/>
      <c r="U82" s="222"/>
      <c r="V82" s="222"/>
      <c r="W82" s="228"/>
      <c r="X82" s="228"/>
      <c r="Y82" s="35"/>
    </row>
    <row r="83" spans="1:25" ht="15" hidden="1" customHeight="1" x14ac:dyDescent="0.25">
      <c r="A83" s="209" t="s">
        <v>86</v>
      </c>
      <c r="B83" s="46"/>
      <c r="C83" s="18"/>
      <c r="D83" s="22"/>
      <c r="E83" s="15"/>
      <c r="F83" s="33">
        <f t="shared" ref="F83:F88" si="1">D83*E83</f>
        <v>0</v>
      </c>
      <c r="G83" s="32">
        <f>F83*C4</f>
        <v>0</v>
      </c>
      <c r="H83" s="239"/>
      <c r="I83" s="239"/>
      <c r="J83" s="239"/>
      <c r="K83" s="239"/>
      <c r="L83" s="239"/>
      <c r="M83" s="239"/>
      <c r="N83" s="239"/>
      <c r="O83" s="239"/>
      <c r="P83" s="239"/>
      <c r="Q83" s="250"/>
      <c r="R83" s="261"/>
      <c r="S83" s="222">
        <f t="shared" ref="S83:S143" si="2">R83-F83</f>
        <v>0</v>
      </c>
      <c r="T83" s="228">
        <f t="shared" ref="T83:T143" si="3">IF(F83=0,0,S83/F83)</f>
        <v>0</v>
      </c>
      <c r="U83" s="222">
        <f t="shared" ref="U83:U143" si="4">R83*$C$4</f>
        <v>0</v>
      </c>
      <c r="V83" s="222">
        <f t="shared" ref="V83:V143" si="5">U83-G83</f>
        <v>0</v>
      </c>
      <c r="W83" s="228">
        <f t="shared" ref="W83:W143" si="6">IF(G83=0,0,V83/G83)</f>
        <v>0</v>
      </c>
      <c r="X83" s="228"/>
      <c r="Y83" s="35"/>
    </row>
    <row r="84" spans="1:25" ht="15" hidden="1" customHeight="1" x14ac:dyDescent="0.25">
      <c r="A84" s="210" t="s">
        <v>89</v>
      </c>
      <c r="B84" s="46"/>
      <c r="C84" s="18"/>
      <c r="D84" s="22"/>
      <c r="E84" s="15"/>
      <c r="F84" s="33">
        <f t="shared" si="1"/>
        <v>0</v>
      </c>
      <c r="G84" s="32">
        <f>F84*C4</f>
        <v>0</v>
      </c>
      <c r="H84" s="239"/>
      <c r="I84" s="239"/>
      <c r="J84" s="239"/>
      <c r="K84" s="239"/>
      <c r="L84" s="239"/>
      <c r="M84" s="239"/>
      <c r="N84" s="239"/>
      <c r="O84" s="239"/>
      <c r="P84" s="239"/>
      <c r="Q84" s="250"/>
      <c r="R84" s="261"/>
      <c r="S84" s="222">
        <f t="shared" si="2"/>
        <v>0</v>
      </c>
      <c r="T84" s="228">
        <f t="shared" si="3"/>
        <v>0</v>
      </c>
      <c r="U84" s="222">
        <f t="shared" si="4"/>
        <v>0</v>
      </c>
      <c r="V84" s="222">
        <f t="shared" si="5"/>
        <v>0</v>
      </c>
      <c r="W84" s="228">
        <f t="shared" si="6"/>
        <v>0</v>
      </c>
      <c r="X84" s="228"/>
      <c r="Y84" s="35"/>
    </row>
    <row r="85" spans="1:25" ht="15" hidden="1" customHeight="1" x14ac:dyDescent="0.25">
      <c r="A85" s="210" t="s">
        <v>90</v>
      </c>
      <c r="B85" s="46"/>
      <c r="C85" s="18"/>
      <c r="D85" s="22"/>
      <c r="E85" s="15"/>
      <c r="F85" s="33">
        <f t="shared" si="1"/>
        <v>0</v>
      </c>
      <c r="G85" s="32">
        <f>F85*C4</f>
        <v>0</v>
      </c>
      <c r="H85" s="239"/>
      <c r="I85" s="239"/>
      <c r="J85" s="239"/>
      <c r="K85" s="239"/>
      <c r="L85" s="239"/>
      <c r="M85" s="239"/>
      <c r="N85" s="239"/>
      <c r="O85" s="239"/>
      <c r="P85" s="239"/>
      <c r="Q85" s="250"/>
      <c r="R85" s="261"/>
      <c r="S85" s="222">
        <f t="shared" si="2"/>
        <v>0</v>
      </c>
      <c r="T85" s="228">
        <f t="shared" si="3"/>
        <v>0</v>
      </c>
      <c r="U85" s="222">
        <f t="shared" si="4"/>
        <v>0</v>
      </c>
      <c r="V85" s="222">
        <f t="shared" si="5"/>
        <v>0</v>
      </c>
      <c r="W85" s="228">
        <f t="shared" si="6"/>
        <v>0</v>
      </c>
      <c r="X85" s="228"/>
      <c r="Y85" s="35"/>
    </row>
    <row r="86" spans="1:25" ht="15" hidden="1" customHeight="1" x14ac:dyDescent="0.25">
      <c r="A86" s="210" t="s">
        <v>91</v>
      </c>
      <c r="B86" s="46"/>
      <c r="C86" s="18"/>
      <c r="D86" s="22"/>
      <c r="E86" s="15"/>
      <c r="F86" s="33">
        <f t="shared" si="1"/>
        <v>0</v>
      </c>
      <c r="G86" s="32">
        <f>F86*C4</f>
        <v>0</v>
      </c>
      <c r="H86" s="239"/>
      <c r="I86" s="239"/>
      <c r="J86" s="239"/>
      <c r="K86" s="239"/>
      <c r="L86" s="239"/>
      <c r="M86" s="239"/>
      <c r="N86" s="239"/>
      <c r="O86" s="239"/>
      <c r="P86" s="239"/>
      <c r="Q86" s="250"/>
      <c r="R86" s="261"/>
      <c r="S86" s="222">
        <f t="shared" si="2"/>
        <v>0</v>
      </c>
      <c r="T86" s="228">
        <f t="shared" si="3"/>
        <v>0</v>
      </c>
      <c r="U86" s="222">
        <f t="shared" si="4"/>
        <v>0</v>
      </c>
      <c r="V86" s="222">
        <f t="shared" si="5"/>
        <v>0</v>
      </c>
      <c r="W86" s="228">
        <f t="shared" si="6"/>
        <v>0</v>
      </c>
      <c r="X86" s="228"/>
      <c r="Y86" s="35"/>
    </row>
    <row r="87" spans="1:25" ht="15" hidden="1" customHeight="1" x14ac:dyDescent="0.25">
      <c r="A87" s="210" t="s">
        <v>92</v>
      </c>
      <c r="B87" s="46"/>
      <c r="C87" s="18"/>
      <c r="D87" s="22"/>
      <c r="E87" s="15"/>
      <c r="F87" s="33">
        <f t="shared" si="1"/>
        <v>0</v>
      </c>
      <c r="G87" s="32">
        <f>F87*C4</f>
        <v>0</v>
      </c>
      <c r="H87" s="239"/>
      <c r="I87" s="239"/>
      <c r="J87" s="239"/>
      <c r="K87" s="239"/>
      <c r="L87" s="239"/>
      <c r="M87" s="239"/>
      <c r="N87" s="239"/>
      <c r="O87" s="239"/>
      <c r="P87" s="239"/>
      <c r="Q87" s="250"/>
      <c r="R87" s="261"/>
      <c r="S87" s="222">
        <f t="shared" si="2"/>
        <v>0</v>
      </c>
      <c r="T87" s="228">
        <f t="shared" si="3"/>
        <v>0</v>
      </c>
      <c r="U87" s="222">
        <f t="shared" si="4"/>
        <v>0</v>
      </c>
      <c r="V87" s="222">
        <f t="shared" si="5"/>
        <v>0</v>
      </c>
      <c r="W87" s="228">
        <f t="shared" si="6"/>
        <v>0</v>
      </c>
      <c r="X87" s="228"/>
      <c r="Y87" s="35"/>
    </row>
    <row r="88" spans="1:25" ht="15" hidden="1" customHeight="1" x14ac:dyDescent="0.25">
      <c r="A88" s="210" t="s">
        <v>93</v>
      </c>
      <c r="B88" s="46"/>
      <c r="C88" s="18"/>
      <c r="D88" s="22"/>
      <c r="E88" s="15"/>
      <c r="F88" s="33">
        <f t="shared" si="1"/>
        <v>0</v>
      </c>
      <c r="G88" s="32">
        <f>F88*C4</f>
        <v>0</v>
      </c>
      <c r="H88" s="239"/>
      <c r="I88" s="239"/>
      <c r="J88" s="239"/>
      <c r="K88" s="239"/>
      <c r="L88" s="239"/>
      <c r="M88" s="239"/>
      <c r="N88" s="239"/>
      <c r="O88" s="239"/>
      <c r="P88" s="239"/>
      <c r="Q88" s="250"/>
      <c r="R88" s="261"/>
      <c r="S88" s="222">
        <f t="shared" si="2"/>
        <v>0</v>
      </c>
      <c r="T88" s="228">
        <f t="shared" si="3"/>
        <v>0</v>
      </c>
      <c r="U88" s="222">
        <f t="shared" si="4"/>
        <v>0</v>
      </c>
      <c r="V88" s="222">
        <f t="shared" si="5"/>
        <v>0</v>
      </c>
      <c r="W88" s="228">
        <f t="shared" si="6"/>
        <v>0</v>
      </c>
      <c r="X88" s="228"/>
      <c r="Y88" s="35"/>
    </row>
    <row r="89" spans="1:25" ht="15" customHeight="1" x14ac:dyDescent="0.25">
      <c r="A89" s="207"/>
      <c r="B89" s="208"/>
      <c r="C89" s="12"/>
      <c r="D89" s="23"/>
      <c r="E89" s="24"/>
      <c r="F89" s="34"/>
      <c r="G89" s="35"/>
      <c r="H89" s="239"/>
      <c r="I89" s="239"/>
      <c r="J89" s="239"/>
      <c r="K89" s="239"/>
      <c r="L89" s="239"/>
      <c r="M89" s="239"/>
      <c r="N89" s="239"/>
      <c r="O89" s="239"/>
      <c r="P89" s="239"/>
      <c r="Q89" s="250"/>
      <c r="R89" s="256"/>
      <c r="S89" s="222"/>
      <c r="T89" s="228"/>
      <c r="U89" s="222"/>
      <c r="V89" s="222"/>
      <c r="W89" s="228"/>
      <c r="X89" s="228"/>
      <c r="Y89" s="35"/>
    </row>
    <row r="90" spans="1:25" ht="15" customHeight="1" x14ac:dyDescent="0.25">
      <c r="A90" s="103" t="s">
        <v>111</v>
      </c>
      <c r="B90" s="35"/>
      <c r="C90" s="2"/>
      <c r="D90" s="146"/>
      <c r="E90" s="147"/>
      <c r="F90" s="34"/>
      <c r="G90" s="35"/>
      <c r="H90" s="239"/>
      <c r="I90" s="239"/>
      <c r="J90" s="239"/>
      <c r="K90" s="239"/>
      <c r="L90" s="239"/>
      <c r="M90" s="239"/>
      <c r="N90" s="239"/>
      <c r="O90" s="239"/>
      <c r="P90" s="239"/>
      <c r="Q90" s="250"/>
      <c r="R90" s="256"/>
      <c r="S90" s="222"/>
      <c r="T90" s="228"/>
      <c r="U90" s="222"/>
      <c r="V90" s="222"/>
      <c r="W90" s="228"/>
      <c r="X90" s="228"/>
      <c r="Y90" s="35"/>
    </row>
    <row r="91" spans="1:25" ht="15" customHeight="1" x14ac:dyDescent="0.25">
      <c r="A91" s="81" t="s">
        <v>88</v>
      </c>
      <c r="B91" s="46" t="s">
        <v>504</v>
      </c>
      <c r="C91" s="18" t="s">
        <v>432</v>
      </c>
      <c r="D91" s="22">
        <v>12</v>
      </c>
      <c r="E91" s="15">
        <v>2000</v>
      </c>
      <c r="F91" s="34">
        <f t="shared" ref="F91:F96" si="7">D91*E91</f>
        <v>24000</v>
      </c>
      <c r="G91" s="35">
        <f>F91*C4</f>
        <v>24000</v>
      </c>
      <c r="H91" s="239"/>
      <c r="I91" s="239"/>
      <c r="J91" s="239"/>
      <c r="K91" s="239"/>
      <c r="L91" s="239"/>
      <c r="M91" s="239"/>
      <c r="N91" s="239"/>
      <c r="O91" s="239"/>
      <c r="P91" s="239"/>
      <c r="Q91" s="250"/>
      <c r="R91" s="261"/>
      <c r="S91" s="222">
        <f t="shared" si="2"/>
        <v>-24000</v>
      </c>
      <c r="T91" s="228">
        <f t="shared" si="3"/>
        <v>-1</v>
      </c>
      <c r="U91" s="222">
        <f t="shared" si="4"/>
        <v>0</v>
      </c>
      <c r="V91" s="222">
        <f t="shared" si="5"/>
        <v>-24000</v>
      </c>
      <c r="W91" s="228">
        <f t="shared" si="6"/>
        <v>-1</v>
      </c>
      <c r="X91" s="228"/>
      <c r="Y91" s="35"/>
    </row>
    <row r="92" spans="1:25" ht="15" customHeight="1" x14ac:dyDescent="0.25">
      <c r="A92" s="148" t="s">
        <v>94</v>
      </c>
      <c r="B92" s="46" t="s">
        <v>505</v>
      </c>
      <c r="C92" s="18" t="s">
        <v>432</v>
      </c>
      <c r="D92" s="22">
        <f>12*2</f>
        <v>24</v>
      </c>
      <c r="E92" s="15">
        <v>1500</v>
      </c>
      <c r="F92" s="34">
        <f t="shared" si="7"/>
        <v>36000</v>
      </c>
      <c r="G92" s="35">
        <f>F92*C4</f>
        <v>36000</v>
      </c>
      <c r="H92" s="239"/>
      <c r="I92" s="239"/>
      <c r="J92" s="239"/>
      <c r="K92" s="239"/>
      <c r="L92" s="239"/>
      <c r="M92" s="239"/>
      <c r="N92" s="239"/>
      <c r="O92" s="239"/>
      <c r="P92" s="239"/>
      <c r="Q92" s="250"/>
      <c r="R92" s="261"/>
      <c r="S92" s="222">
        <f t="shared" si="2"/>
        <v>-36000</v>
      </c>
      <c r="T92" s="228">
        <f t="shared" si="3"/>
        <v>-1</v>
      </c>
      <c r="U92" s="222">
        <f t="shared" si="4"/>
        <v>0</v>
      </c>
      <c r="V92" s="222">
        <f t="shared" si="5"/>
        <v>-36000</v>
      </c>
      <c r="W92" s="228">
        <f t="shared" si="6"/>
        <v>-1</v>
      </c>
      <c r="X92" s="228"/>
      <c r="Y92" s="35"/>
    </row>
    <row r="93" spans="1:25" ht="15" customHeight="1" x14ac:dyDescent="0.25">
      <c r="A93" s="148" t="s">
        <v>95</v>
      </c>
      <c r="B93" s="46" t="s">
        <v>506</v>
      </c>
      <c r="C93" s="18" t="s">
        <v>432</v>
      </c>
      <c r="D93" s="22">
        <v>12</v>
      </c>
      <c r="E93" s="15">
        <v>1500</v>
      </c>
      <c r="F93" s="34">
        <f t="shared" si="7"/>
        <v>18000</v>
      </c>
      <c r="G93" s="35">
        <f>F93*C4</f>
        <v>18000</v>
      </c>
      <c r="H93" s="239"/>
      <c r="I93" s="239"/>
      <c r="J93" s="239"/>
      <c r="K93" s="239"/>
      <c r="L93" s="239"/>
      <c r="M93" s="239"/>
      <c r="N93" s="239"/>
      <c r="O93" s="239"/>
      <c r="P93" s="239"/>
      <c r="Q93" s="250"/>
      <c r="R93" s="261"/>
      <c r="S93" s="222">
        <f t="shared" si="2"/>
        <v>-18000</v>
      </c>
      <c r="T93" s="228">
        <f t="shared" si="3"/>
        <v>-1</v>
      </c>
      <c r="U93" s="222">
        <f t="shared" si="4"/>
        <v>0</v>
      </c>
      <c r="V93" s="222">
        <f t="shared" si="5"/>
        <v>-18000</v>
      </c>
      <c r="W93" s="228">
        <f t="shared" si="6"/>
        <v>-1</v>
      </c>
      <c r="X93" s="228"/>
      <c r="Y93" s="35"/>
    </row>
    <row r="94" spans="1:25" ht="15" customHeight="1" x14ac:dyDescent="0.25">
      <c r="A94" s="148" t="s">
        <v>96</v>
      </c>
      <c r="B94" s="46" t="s">
        <v>507</v>
      </c>
      <c r="C94" s="18" t="s">
        <v>432</v>
      </c>
      <c r="D94" s="22">
        <v>12</v>
      </c>
      <c r="E94" s="15">
        <v>1500</v>
      </c>
      <c r="F94" s="34">
        <f t="shared" si="7"/>
        <v>18000</v>
      </c>
      <c r="G94" s="35">
        <f>F94*C4</f>
        <v>18000</v>
      </c>
      <c r="H94" s="239"/>
      <c r="I94" s="239"/>
      <c r="J94" s="239"/>
      <c r="K94" s="239"/>
      <c r="L94" s="239"/>
      <c r="M94" s="239"/>
      <c r="N94" s="239"/>
      <c r="O94" s="239"/>
      <c r="P94" s="239"/>
      <c r="Q94" s="250"/>
      <c r="R94" s="261"/>
      <c r="S94" s="222">
        <f t="shared" si="2"/>
        <v>-18000</v>
      </c>
      <c r="T94" s="228">
        <f t="shared" si="3"/>
        <v>-1</v>
      </c>
      <c r="U94" s="222">
        <f t="shared" si="4"/>
        <v>0</v>
      </c>
      <c r="V94" s="222">
        <f t="shared" si="5"/>
        <v>-18000</v>
      </c>
      <c r="W94" s="228">
        <f t="shared" si="6"/>
        <v>-1</v>
      </c>
      <c r="X94" s="228"/>
      <c r="Y94" s="35"/>
    </row>
    <row r="95" spans="1:25" ht="15" hidden="1" customHeight="1" x14ac:dyDescent="0.25">
      <c r="A95" s="148" t="s">
        <v>97</v>
      </c>
      <c r="B95" s="46"/>
      <c r="C95" s="18"/>
      <c r="D95" s="22"/>
      <c r="E95" s="15"/>
      <c r="F95" s="34">
        <f t="shared" si="7"/>
        <v>0</v>
      </c>
      <c r="G95" s="35">
        <f>F95*C4</f>
        <v>0</v>
      </c>
      <c r="H95" s="239"/>
      <c r="I95" s="239"/>
      <c r="J95" s="239"/>
      <c r="K95" s="239"/>
      <c r="L95" s="239"/>
      <c r="M95" s="239"/>
      <c r="N95" s="239"/>
      <c r="O95" s="239"/>
      <c r="P95" s="239"/>
      <c r="Q95" s="250"/>
      <c r="R95" s="261"/>
      <c r="S95" s="222">
        <f t="shared" si="2"/>
        <v>0</v>
      </c>
      <c r="T95" s="228">
        <f t="shared" si="3"/>
        <v>0</v>
      </c>
      <c r="U95" s="222">
        <f t="shared" si="4"/>
        <v>0</v>
      </c>
      <c r="V95" s="222">
        <f t="shared" si="5"/>
        <v>0</v>
      </c>
      <c r="W95" s="228">
        <f t="shared" si="6"/>
        <v>0</v>
      </c>
      <c r="X95" s="228"/>
      <c r="Y95" s="35"/>
    </row>
    <row r="96" spans="1:25" ht="15" hidden="1" customHeight="1" x14ac:dyDescent="0.25">
      <c r="A96" s="148" t="s">
        <v>98</v>
      </c>
      <c r="B96" s="46"/>
      <c r="C96" s="18"/>
      <c r="D96" s="22"/>
      <c r="E96" s="15"/>
      <c r="F96" s="34">
        <f t="shared" si="7"/>
        <v>0</v>
      </c>
      <c r="G96" s="35">
        <f>F96*C4</f>
        <v>0</v>
      </c>
      <c r="H96" s="239"/>
      <c r="I96" s="239"/>
      <c r="J96" s="239"/>
      <c r="K96" s="239"/>
      <c r="L96" s="239"/>
      <c r="M96" s="239"/>
      <c r="N96" s="239"/>
      <c r="O96" s="239"/>
      <c r="P96" s="239"/>
      <c r="Q96" s="250"/>
      <c r="R96" s="261"/>
      <c r="S96" s="222">
        <f t="shared" si="2"/>
        <v>0</v>
      </c>
      <c r="T96" s="228">
        <f t="shared" si="3"/>
        <v>0</v>
      </c>
      <c r="U96" s="222">
        <f t="shared" si="4"/>
        <v>0</v>
      </c>
      <c r="V96" s="222">
        <f t="shared" si="5"/>
        <v>0</v>
      </c>
      <c r="W96" s="228">
        <f t="shared" si="6"/>
        <v>0</v>
      </c>
      <c r="X96" s="228"/>
      <c r="Y96" s="35"/>
    </row>
    <row r="97" spans="1:25" ht="15" customHeight="1" thickBot="1" x14ac:dyDescent="0.3">
      <c r="A97" s="103"/>
      <c r="B97" s="150" t="s">
        <v>85</v>
      </c>
      <c r="C97" s="122"/>
      <c r="D97" s="126"/>
      <c r="E97" s="127"/>
      <c r="F97" s="36">
        <f>SUM(F81+F83+F84+F85+F86+F87+F88+F91+F92+F93+F94+F95+F96)</f>
        <v>116000</v>
      </c>
      <c r="G97" s="36">
        <f>SUM(G81+G83+G84+G85+G86+G87+G88+G91+G92+G93+G94+G95+G96)</f>
        <v>116000</v>
      </c>
      <c r="H97" s="241"/>
      <c r="I97" s="241"/>
      <c r="J97" s="241"/>
      <c r="K97" s="241"/>
      <c r="L97" s="241"/>
      <c r="M97" s="241"/>
      <c r="N97" s="241"/>
      <c r="O97" s="241"/>
      <c r="P97" s="241"/>
      <c r="Q97" s="252"/>
      <c r="R97" s="262"/>
      <c r="S97" s="234">
        <f t="shared" si="2"/>
        <v>-116000</v>
      </c>
      <c r="T97" s="235">
        <f t="shared" si="3"/>
        <v>-1</v>
      </c>
      <c r="U97" s="234">
        <f t="shared" si="4"/>
        <v>0</v>
      </c>
      <c r="V97" s="234">
        <f t="shared" si="5"/>
        <v>-116000</v>
      </c>
      <c r="W97" s="235">
        <f t="shared" si="6"/>
        <v>-1</v>
      </c>
      <c r="X97" s="235"/>
      <c r="Y97" s="35"/>
    </row>
    <row r="98" spans="1:25" ht="15" customHeight="1" thickTop="1" x14ac:dyDescent="0.25">
      <c r="A98" s="91"/>
      <c r="B98" s="74"/>
      <c r="C98" s="85"/>
      <c r="D98" s="86"/>
      <c r="E98" s="90"/>
      <c r="F98" s="90"/>
      <c r="G98" s="91"/>
      <c r="H98" s="238"/>
      <c r="I98" s="238"/>
      <c r="J98" s="238"/>
      <c r="K98" s="238"/>
      <c r="L98" s="238"/>
      <c r="M98" s="238"/>
      <c r="N98" s="238"/>
      <c r="O98" s="238"/>
      <c r="P98" s="238"/>
      <c r="Q98" s="251"/>
      <c r="R98" s="257"/>
      <c r="S98" s="222"/>
      <c r="T98" s="228"/>
      <c r="U98" s="222"/>
      <c r="V98" s="222"/>
      <c r="W98" s="228"/>
      <c r="X98" s="228"/>
      <c r="Y98" s="35"/>
    </row>
    <row r="99" spans="1:25" ht="15" customHeight="1" x14ac:dyDescent="0.25">
      <c r="A99" s="129">
        <v>2</v>
      </c>
      <c r="B99" s="130" t="s">
        <v>99</v>
      </c>
      <c r="C99" s="134"/>
      <c r="D99" s="133"/>
      <c r="E99" s="135"/>
      <c r="F99" s="135"/>
      <c r="G99" s="151"/>
      <c r="H99" s="238"/>
      <c r="I99" s="238"/>
      <c r="J99" s="238"/>
      <c r="K99" s="238"/>
      <c r="L99" s="238"/>
      <c r="M99" s="238"/>
      <c r="N99" s="238"/>
      <c r="O99" s="238"/>
      <c r="P99" s="238"/>
      <c r="Q99" s="251"/>
      <c r="R99" s="259"/>
      <c r="S99" s="227"/>
      <c r="T99" s="229"/>
      <c r="U99" s="227"/>
      <c r="V99" s="227"/>
      <c r="W99" s="229"/>
      <c r="X99" s="229"/>
      <c r="Y99" s="35"/>
    </row>
    <row r="100" spans="1:25" ht="15" customHeight="1" x14ac:dyDescent="0.25">
      <c r="A100" s="217" t="s">
        <v>100</v>
      </c>
      <c r="B100" s="218" t="s">
        <v>70</v>
      </c>
      <c r="C100" s="214"/>
      <c r="D100" s="215"/>
      <c r="E100" s="216"/>
      <c r="F100" s="211">
        <f>SUM(F101:F105)</f>
        <v>0</v>
      </c>
      <c r="G100" s="212">
        <f>SUM(G101:G105)</f>
        <v>0</v>
      </c>
      <c r="H100" s="239"/>
      <c r="I100" s="239"/>
      <c r="J100" s="239"/>
      <c r="K100" s="239"/>
      <c r="L100" s="239"/>
      <c r="M100" s="239"/>
      <c r="N100" s="239"/>
      <c r="O100" s="239"/>
      <c r="P100" s="239"/>
      <c r="Q100" s="250"/>
      <c r="R100" s="261"/>
      <c r="S100" s="236">
        <f t="shared" si="2"/>
        <v>0</v>
      </c>
      <c r="T100" s="237">
        <f t="shared" si="3"/>
        <v>0</v>
      </c>
      <c r="U100" s="236">
        <f t="shared" si="4"/>
        <v>0</v>
      </c>
      <c r="V100" s="236">
        <f t="shared" si="5"/>
        <v>0</v>
      </c>
      <c r="W100" s="237">
        <f t="shared" si="6"/>
        <v>0</v>
      </c>
      <c r="X100" s="237"/>
      <c r="Y100" s="35"/>
    </row>
    <row r="101" spans="1:25" ht="15" hidden="1" customHeight="1" x14ac:dyDescent="0.25">
      <c r="A101" s="152" t="s">
        <v>200</v>
      </c>
      <c r="B101" s="110" t="s">
        <v>252</v>
      </c>
      <c r="C101" s="25"/>
      <c r="D101" s="405"/>
      <c r="E101" s="406"/>
      <c r="F101" s="34">
        <f>D101*E101</f>
        <v>0</v>
      </c>
      <c r="G101" s="35">
        <f>F101*C4</f>
        <v>0</v>
      </c>
      <c r="H101" s="239"/>
      <c r="I101" s="239"/>
      <c r="J101" s="239"/>
      <c r="K101" s="239"/>
      <c r="L101" s="239"/>
      <c r="M101" s="239"/>
      <c r="N101" s="239"/>
      <c r="O101" s="239"/>
      <c r="P101" s="239"/>
      <c r="Q101" s="250"/>
      <c r="R101" s="261"/>
      <c r="S101" s="222">
        <f t="shared" si="2"/>
        <v>0</v>
      </c>
      <c r="T101" s="228">
        <f t="shared" si="3"/>
        <v>0</v>
      </c>
      <c r="U101" s="222">
        <f t="shared" si="4"/>
        <v>0</v>
      </c>
      <c r="V101" s="222">
        <f t="shared" si="5"/>
        <v>0</v>
      </c>
      <c r="W101" s="228">
        <f t="shared" si="6"/>
        <v>0</v>
      </c>
      <c r="X101" s="228"/>
      <c r="Y101" s="35"/>
    </row>
    <row r="102" spans="1:25" ht="15" hidden="1" customHeight="1" x14ac:dyDescent="0.25">
      <c r="A102" s="152" t="s">
        <v>201</v>
      </c>
      <c r="B102" s="110" t="s">
        <v>253</v>
      </c>
      <c r="C102" s="25"/>
      <c r="D102" s="405"/>
      <c r="E102" s="406"/>
      <c r="F102" s="34">
        <f>D102*E102</f>
        <v>0</v>
      </c>
      <c r="G102" s="35">
        <f>F102*C4</f>
        <v>0</v>
      </c>
      <c r="H102" s="239"/>
      <c r="I102" s="239"/>
      <c r="J102" s="239"/>
      <c r="K102" s="239"/>
      <c r="L102" s="239"/>
      <c r="M102" s="239"/>
      <c r="N102" s="239"/>
      <c r="O102" s="239"/>
      <c r="P102" s="239"/>
      <c r="Q102" s="250"/>
      <c r="R102" s="261"/>
      <c r="S102" s="222">
        <f t="shared" si="2"/>
        <v>0</v>
      </c>
      <c r="T102" s="228">
        <f t="shared" si="3"/>
        <v>0</v>
      </c>
      <c r="U102" s="222">
        <f t="shared" si="4"/>
        <v>0</v>
      </c>
      <c r="V102" s="222">
        <f t="shared" si="5"/>
        <v>0</v>
      </c>
      <c r="W102" s="228">
        <f t="shared" si="6"/>
        <v>0</v>
      </c>
      <c r="X102" s="228"/>
      <c r="Y102" s="35"/>
    </row>
    <row r="103" spans="1:25" ht="15" hidden="1" customHeight="1" x14ac:dyDescent="0.25">
      <c r="A103" s="152" t="s">
        <v>202</v>
      </c>
      <c r="B103" s="110" t="s">
        <v>254</v>
      </c>
      <c r="C103" s="25"/>
      <c r="D103" s="405"/>
      <c r="E103" s="406"/>
      <c r="F103" s="34">
        <f>D103*E103</f>
        <v>0</v>
      </c>
      <c r="G103" s="35">
        <f>F103*C4</f>
        <v>0</v>
      </c>
      <c r="H103" s="239"/>
      <c r="I103" s="239"/>
      <c r="J103" s="239"/>
      <c r="K103" s="239"/>
      <c r="L103" s="239"/>
      <c r="M103" s="239"/>
      <c r="N103" s="239"/>
      <c r="O103" s="239"/>
      <c r="P103" s="239"/>
      <c r="Q103" s="250"/>
      <c r="R103" s="261"/>
      <c r="S103" s="222">
        <f t="shared" si="2"/>
        <v>0</v>
      </c>
      <c r="T103" s="228">
        <f t="shared" si="3"/>
        <v>0</v>
      </c>
      <c r="U103" s="222">
        <f t="shared" si="4"/>
        <v>0</v>
      </c>
      <c r="V103" s="222">
        <f t="shared" si="5"/>
        <v>0</v>
      </c>
      <c r="W103" s="228">
        <f t="shared" si="6"/>
        <v>0</v>
      </c>
      <c r="X103" s="228"/>
      <c r="Y103" s="35"/>
    </row>
    <row r="104" spans="1:25" ht="15" hidden="1" customHeight="1" x14ac:dyDescent="0.25">
      <c r="A104" s="152" t="s">
        <v>203</v>
      </c>
      <c r="B104" s="110" t="s">
        <v>255</v>
      </c>
      <c r="C104" s="25"/>
      <c r="D104" s="405"/>
      <c r="E104" s="406"/>
      <c r="F104" s="34">
        <f>D104*E104</f>
        <v>0</v>
      </c>
      <c r="G104" s="35">
        <f>F104*C4</f>
        <v>0</v>
      </c>
      <c r="H104" s="239"/>
      <c r="I104" s="239"/>
      <c r="J104" s="239"/>
      <c r="K104" s="239"/>
      <c r="L104" s="239"/>
      <c r="M104" s="239"/>
      <c r="N104" s="239"/>
      <c r="O104" s="239"/>
      <c r="P104" s="239"/>
      <c r="Q104" s="250"/>
      <c r="R104" s="261"/>
      <c r="S104" s="222">
        <f t="shared" si="2"/>
        <v>0</v>
      </c>
      <c r="T104" s="228">
        <f t="shared" si="3"/>
        <v>0</v>
      </c>
      <c r="U104" s="222">
        <f t="shared" si="4"/>
        <v>0</v>
      </c>
      <c r="V104" s="222">
        <f t="shared" si="5"/>
        <v>0</v>
      </c>
      <c r="W104" s="228">
        <f t="shared" si="6"/>
        <v>0</v>
      </c>
      <c r="X104" s="228"/>
      <c r="Y104" s="35"/>
    </row>
    <row r="105" spans="1:25" ht="15" hidden="1" customHeight="1" x14ac:dyDescent="0.25">
      <c r="A105" s="152" t="s">
        <v>204</v>
      </c>
      <c r="B105" s="110" t="s">
        <v>256</v>
      </c>
      <c r="C105" s="25"/>
      <c r="D105" s="405"/>
      <c r="E105" s="406"/>
      <c r="F105" s="34">
        <f>D105*E105</f>
        <v>0</v>
      </c>
      <c r="G105" s="35">
        <f>F105*C4</f>
        <v>0</v>
      </c>
      <c r="H105" s="239"/>
      <c r="I105" s="239"/>
      <c r="J105" s="239"/>
      <c r="K105" s="239"/>
      <c r="L105" s="239"/>
      <c r="M105" s="239"/>
      <c r="N105" s="239"/>
      <c r="O105" s="239"/>
      <c r="P105" s="239"/>
      <c r="Q105" s="250"/>
      <c r="R105" s="261"/>
      <c r="S105" s="222">
        <f t="shared" si="2"/>
        <v>0</v>
      </c>
      <c r="T105" s="228">
        <f t="shared" si="3"/>
        <v>0</v>
      </c>
      <c r="U105" s="222">
        <f t="shared" si="4"/>
        <v>0</v>
      </c>
      <c r="V105" s="222">
        <f t="shared" si="5"/>
        <v>0</v>
      </c>
      <c r="W105" s="228">
        <f t="shared" si="6"/>
        <v>0</v>
      </c>
      <c r="X105" s="228"/>
      <c r="Y105" s="35"/>
    </row>
    <row r="106" spans="1:25" ht="15" customHeight="1" x14ac:dyDescent="0.25">
      <c r="A106" s="217" t="s">
        <v>101</v>
      </c>
      <c r="B106" s="218" t="s">
        <v>59</v>
      </c>
      <c r="C106" s="214"/>
      <c r="D106" s="215"/>
      <c r="E106" s="216"/>
      <c r="F106" s="211">
        <f>SUM(F107:F111)</f>
        <v>0</v>
      </c>
      <c r="G106" s="212">
        <f>SUM(G107:G111)</f>
        <v>0</v>
      </c>
      <c r="H106" s="239"/>
      <c r="I106" s="239"/>
      <c r="J106" s="239"/>
      <c r="K106" s="239"/>
      <c r="L106" s="239"/>
      <c r="M106" s="239"/>
      <c r="N106" s="239"/>
      <c r="O106" s="239"/>
      <c r="P106" s="239"/>
      <c r="Q106" s="250"/>
      <c r="R106" s="261"/>
      <c r="S106" s="236">
        <f t="shared" si="2"/>
        <v>0</v>
      </c>
      <c r="T106" s="237">
        <f t="shared" si="3"/>
        <v>0</v>
      </c>
      <c r="U106" s="236">
        <f t="shared" si="4"/>
        <v>0</v>
      </c>
      <c r="V106" s="236">
        <f t="shared" si="5"/>
        <v>0</v>
      </c>
      <c r="W106" s="237">
        <f t="shared" si="6"/>
        <v>0</v>
      </c>
      <c r="X106" s="237"/>
      <c r="Y106" s="35"/>
    </row>
    <row r="107" spans="1:25" ht="15" hidden="1" customHeight="1" x14ac:dyDescent="0.25">
      <c r="A107" s="152" t="s">
        <v>205</v>
      </c>
      <c r="B107" s="110" t="s">
        <v>257</v>
      </c>
      <c r="C107" s="25"/>
      <c r="D107" s="405"/>
      <c r="E107" s="406"/>
      <c r="F107" s="34">
        <f>D107*E107</f>
        <v>0</v>
      </c>
      <c r="G107" s="35">
        <f>F107*C4</f>
        <v>0</v>
      </c>
      <c r="H107" s="239"/>
      <c r="I107" s="239"/>
      <c r="J107" s="239"/>
      <c r="K107" s="239"/>
      <c r="L107" s="239"/>
      <c r="M107" s="239"/>
      <c r="N107" s="239"/>
      <c r="O107" s="239"/>
      <c r="P107" s="239"/>
      <c r="Q107" s="250"/>
      <c r="R107" s="261"/>
      <c r="S107" s="222">
        <f t="shared" si="2"/>
        <v>0</v>
      </c>
      <c r="T107" s="228">
        <f t="shared" si="3"/>
        <v>0</v>
      </c>
      <c r="U107" s="222">
        <f t="shared" si="4"/>
        <v>0</v>
      </c>
      <c r="V107" s="222">
        <f t="shared" si="5"/>
        <v>0</v>
      </c>
      <c r="W107" s="228">
        <f t="shared" si="6"/>
        <v>0</v>
      </c>
      <c r="X107" s="228"/>
      <c r="Y107" s="35"/>
    </row>
    <row r="108" spans="1:25" ht="15" hidden="1" customHeight="1" x14ac:dyDescent="0.25">
      <c r="A108" s="152" t="s">
        <v>206</v>
      </c>
      <c r="B108" s="110" t="s">
        <v>261</v>
      </c>
      <c r="C108" s="25"/>
      <c r="D108" s="405"/>
      <c r="E108" s="406"/>
      <c r="F108" s="34">
        <f>D108*E108</f>
        <v>0</v>
      </c>
      <c r="G108" s="35">
        <f>F108*C4</f>
        <v>0</v>
      </c>
      <c r="H108" s="239"/>
      <c r="I108" s="239"/>
      <c r="J108" s="239"/>
      <c r="K108" s="239"/>
      <c r="L108" s="239"/>
      <c r="M108" s="239"/>
      <c r="N108" s="239"/>
      <c r="O108" s="239"/>
      <c r="P108" s="239"/>
      <c r="Q108" s="250"/>
      <c r="R108" s="261"/>
      <c r="S108" s="222">
        <f t="shared" si="2"/>
        <v>0</v>
      </c>
      <c r="T108" s="228">
        <f t="shared" si="3"/>
        <v>0</v>
      </c>
      <c r="U108" s="222">
        <f t="shared" si="4"/>
        <v>0</v>
      </c>
      <c r="V108" s="222">
        <f t="shared" si="5"/>
        <v>0</v>
      </c>
      <c r="W108" s="228">
        <f t="shared" si="6"/>
        <v>0</v>
      </c>
      <c r="X108" s="228"/>
      <c r="Y108" s="35"/>
    </row>
    <row r="109" spans="1:25" ht="15" hidden="1" customHeight="1" x14ac:dyDescent="0.25">
      <c r="A109" s="152" t="s">
        <v>207</v>
      </c>
      <c r="B109" s="110" t="s">
        <v>260</v>
      </c>
      <c r="C109" s="25"/>
      <c r="D109" s="405"/>
      <c r="E109" s="406"/>
      <c r="F109" s="34">
        <f>D109*E109</f>
        <v>0</v>
      </c>
      <c r="G109" s="35">
        <f>F109*C4</f>
        <v>0</v>
      </c>
      <c r="H109" s="239"/>
      <c r="I109" s="239"/>
      <c r="J109" s="239"/>
      <c r="K109" s="239"/>
      <c r="L109" s="239"/>
      <c r="M109" s="239"/>
      <c r="N109" s="239"/>
      <c r="O109" s="239"/>
      <c r="P109" s="239"/>
      <c r="Q109" s="250"/>
      <c r="R109" s="261"/>
      <c r="S109" s="222">
        <f t="shared" si="2"/>
        <v>0</v>
      </c>
      <c r="T109" s="228">
        <f t="shared" si="3"/>
        <v>0</v>
      </c>
      <c r="U109" s="222">
        <f t="shared" si="4"/>
        <v>0</v>
      </c>
      <c r="V109" s="222">
        <f t="shared" si="5"/>
        <v>0</v>
      </c>
      <c r="W109" s="228">
        <f t="shared" si="6"/>
        <v>0</v>
      </c>
      <c r="X109" s="228"/>
      <c r="Y109" s="35"/>
    </row>
    <row r="110" spans="1:25" ht="15" hidden="1" customHeight="1" x14ac:dyDescent="0.25">
      <c r="A110" s="152" t="s">
        <v>208</v>
      </c>
      <c r="B110" s="110" t="s">
        <v>259</v>
      </c>
      <c r="C110" s="25"/>
      <c r="D110" s="405"/>
      <c r="E110" s="406"/>
      <c r="F110" s="34">
        <f>D110*E110</f>
        <v>0</v>
      </c>
      <c r="G110" s="35">
        <f>F110*C4</f>
        <v>0</v>
      </c>
      <c r="H110" s="239"/>
      <c r="I110" s="239"/>
      <c r="J110" s="239"/>
      <c r="K110" s="239"/>
      <c r="L110" s="239"/>
      <c r="M110" s="239"/>
      <c r="N110" s="239"/>
      <c r="O110" s="239"/>
      <c r="P110" s="239"/>
      <c r="Q110" s="250"/>
      <c r="R110" s="261"/>
      <c r="S110" s="222">
        <f t="shared" si="2"/>
        <v>0</v>
      </c>
      <c r="T110" s="228">
        <f t="shared" si="3"/>
        <v>0</v>
      </c>
      <c r="U110" s="222">
        <f t="shared" si="4"/>
        <v>0</v>
      </c>
      <c r="V110" s="222">
        <f t="shared" si="5"/>
        <v>0</v>
      </c>
      <c r="W110" s="228">
        <f t="shared" si="6"/>
        <v>0</v>
      </c>
      <c r="X110" s="228"/>
      <c r="Y110" s="35"/>
    </row>
    <row r="111" spans="1:25" ht="15" hidden="1" customHeight="1" x14ac:dyDescent="0.25">
      <c r="A111" s="152" t="s">
        <v>209</v>
      </c>
      <c r="B111" s="110" t="s">
        <v>258</v>
      </c>
      <c r="C111" s="25"/>
      <c r="D111" s="405"/>
      <c r="E111" s="406"/>
      <c r="F111" s="34">
        <f>D111*E111</f>
        <v>0</v>
      </c>
      <c r="G111" s="35">
        <f>F111*C4</f>
        <v>0</v>
      </c>
      <c r="H111" s="239"/>
      <c r="I111" s="239"/>
      <c r="J111" s="239"/>
      <c r="K111" s="239"/>
      <c r="L111" s="239"/>
      <c r="M111" s="239"/>
      <c r="N111" s="239"/>
      <c r="O111" s="239"/>
      <c r="P111" s="239"/>
      <c r="Q111" s="250"/>
      <c r="R111" s="261"/>
      <c r="S111" s="222">
        <f t="shared" si="2"/>
        <v>0</v>
      </c>
      <c r="T111" s="228">
        <f t="shared" si="3"/>
        <v>0</v>
      </c>
      <c r="U111" s="222">
        <f t="shared" si="4"/>
        <v>0</v>
      </c>
      <c r="V111" s="222">
        <f t="shared" si="5"/>
        <v>0</v>
      </c>
      <c r="W111" s="228">
        <f t="shared" si="6"/>
        <v>0</v>
      </c>
      <c r="X111" s="228"/>
      <c r="Y111" s="35"/>
    </row>
    <row r="112" spans="1:25" ht="15" customHeight="1" x14ac:dyDescent="0.25">
      <c r="A112" s="217" t="s">
        <v>102</v>
      </c>
      <c r="B112" s="218" t="s">
        <v>71</v>
      </c>
      <c r="C112" s="214"/>
      <c r="D112" s="215"/>
      <c r="E112" s="216"/>
      <c r="F112" s="211">
        <f>SUM(F113:F117)</f>
        <v>0</v>
      </c>
      <c r="G112" s="212">
        <f>SUM(G113:G117)</f>
        <v>0</v>
      </c>
      <c r="H112" s="239"/>
      <c r="I112" s="239"/>
      <c r="J112" s="239"/>
      <c r="K112" s="239"/>
      <c r="L112" s="239"/>
      <c r="M112" s="239"/>
      <c r="N112" s="239"/>
      <c r="O112" s="239"/>
      <c r="P112" s="239"/>
      <c r="Q112" s="250"/>
      <c r="R112" s="261"/>
      <c r="S112" s="236">
        <f t="shared" si="2"/>
        <v>0</v>
      </c>
      <c r="T112" s="237">
        <f t="shared" si="3"/>
        <v>0</v>
      </c>
      <c r="U112" s="236">
        <f t="shared" si="4"/>
        <v>0</v>
      </c>
      <c r="V112" s="236">
        <f t="shared" si="5"/>
        <v>0</v>
      </c>
      <c r="W112" s="237">
        <f t="shared" si="6"/>
        <v>0</v>
      </c>
      <c r="X112" s="237"/>
      <c r="Y112" s="35"/>
    </row>
    <row r="113" spans="1:25" ht="15" hidden="1" customHeight="1" x14ac:dyDescent="0.25">
      <c r="A113" s="152" t="s">
        <v>210</v>
      </c>
      <c r="B113" s="110" t="s">
        <v>262</v>
      </c>
      <c r="C113" s="25"/>
      <c r="D113" s="405"/>
      <c r="E113" s="406"/>
      <c r="F113" s="34">
        <f>D113*E113</f>
        <v>0</v>
      </c>
      <c r="G113" s="35">
        <f>F113*C4</f>
        <v>0</v>
      </c>
      <c r="H113" s="239"/>
      <c r="I113" s="239"/>
      <c r="J113" s="239"/>
      <c r="K113" s="239"/>
      <c r="L113" s="239"/>
      <c r="M113" s="239"/>
      <c r="N113" s="239"/>
      <c r="O113" s="239"/>
      <c r="P113" s="239"/>
      <c r="Q113" s="250"/>
      <c r="R113" s="261"/>
      <c r="S113" s="222">
        <f t="shared" si="2"/>
        <v>0</v>
      </c>
      <c r="T113" s="228">
        <f t="shared" si="3"/>
        <v>0</v>
      </c>
      <c r="U113" s="222">
        <f t="shared" si="4"/>
        <v>0</v>
      </c>
      <c r="V113" s="222">
        <f t="shared" si="5"/>
        <v>0</v>
      </c>
      <c r="W113" s="228">
        <f t="shared" si="6"/>
        <v>0</v>
      </c>
      <c r="X113" s="228"/>
      <c r="Y113" s="35"/>
    </row>
    <row r="114" spans="1:25" ht="15" hidden="1" customHeight="1" x14ac:dyDescent="0.25">
      <c r="A114" s="152" t="s">
        <v>211</v>
      </c>
      <c r="B114" s="110" t="s">
        <v>263</v>
      </c>
      <c r="C114" s="25"/>
      <c r="D114" s="405"/>
      <c r="E114" s="406"/>
      <c r="F114" s="34">
        <f>D114*E114</f>
        <v>0</v>
      </c>
      <c r="G114" s="35">
        <f>F114*C4</f>
        <v>0</v>
      </c>
      <c r="H114" s="239"/>
      <c r="I114" s="239"/>
      <c r="J114" s="239"/>
      <c r="K114" s="239"/>
      <c r="L114" s="239"/>
      <c r="M114" s="239"/>
      <c r="N114" s="239"/>
      <c r="O114" s="239"/>
      <c r="P114" s="239"/>
      <c r="Q114" s="250"/>
      <c r="R114" s="261"/>
      <c r="S114" s="222">
        <f t="shared" si="2"/>
        <v>0</v>
      </c>
      <c r="T114" s="228">
        <f t="shared" si="3"/>
        <v>0</v>
      </c>
      <c r="U114" s="222">
        <f t="shared" si="4"/>
        <v>0</v>
      </c>
      <c r="V114" s="222">
        <f t="shared" si="5"/>
        <v>0</v>
      </c>
      <c r="W114" s="228">
        <f t="shared" si="6"/>
        <v>0</v>
      </c>
      <c r="X114" s="228"/>
      <c r="Y114" s="35"/>
    </row>
    <row r="115" spans="1:25" ht="15" hidden="1" customHeight="1" x14ac:dyDescent="0.25">
      <c r="A115" s="152" t="s">
        <v>212</v>
      </c>
      <c r="B115" s="110" t="s">
        <v>264</v>
      </c>
      <c r="C115" s="25"/>
      <c r="D115" s="405"/>
      <c r="E115" s="406"/>
      <c r="F115" s="34">
        <f>D115*E115</f>
        <v>0</v>
      </c>
      <c r="G115" s="35">
        <f>F115*C4</f>
        <v>0</v>
      </c>
      <c r="H115" s="239"/>
      <c r="I115" s="239"/>
      <c r="J115" s="239"/>
      <c r="K115" s="239"/>
      <c r="L115" s="239"/>
      <c r="M115" s="239"/>
      <c r="N115" s="239"/>
      <c r="O115" s="239"/>
      <c r="P115" s="239"/>
      <c r="Q115" s="250"/>
      <c r="R115" s="261"/>
      <c r="S115" s="222">
        <f t="shared" si="2"/>
        <v>0</v>
      </c>
      <c r="T115" s="228">
        <f t="shared" si="3"/>
        <v>0</v>
      </c>
      <c r="U115" s="222">
        <f t="shared" si="4"/>
        <v>0</v>
      </c>
      <c r="V115" s="222">
        <f t="shared" si="5"/>
        <v>0</v>
      </c>
      <c r="W115" s="228">
        <f t="shared" si="6"/>
        <v>0</v>
      </c>
      <c r="X115" s="228"/>
      <c r="Y115" s="35"/>
    </row>
    <row r="116" spans="1:25" ht="15" hidden="1" customHeight="1" x14ac:dyDescent="0.25">
      <c r="A116" s="152" t="s">
        <v>213</v>
      </c>
      <c r="B116" s="110" t="s">
        <v>265</v>
      </c>
      <c r="C116" s="25"/>
      <c r="D116" s="405"/>
      <c r="E116" s="406"/>
      <c r="F116" s="34">
        <f>D116*E116</f>
        <v>0</v>
      </c>
      <c r="G116" s="35">
        <f>F116*C4</f>
        <v>0</v>
      </c>
      <c r="H116" s="239"/>
      <c r="I116" s="239"/>
      <c r="J116" s="239"/>
      <c r="K116" s="239"/>
      <c r="L116" s="239"/>
      <c r="M116" s="239"/>
      <c r="N116" s="239"/>
      <c r="O116" s="239"/>
      <c r="P116" s="239"/>
      <c r="Q116" s="250"/>
      <c r="R116" s="261"/>
      <c r="S116" s="222">
        <f t="shared" si="2"/>
        <v>0</v>
      </c>
      <c r="T116" s="228">
        <f t="shared" si="3"/>
        <v>0</v>
      </c>
      <c r="U116" s="222">
        <f t="shared" si="4"/>
        <v>0</v>
      </c>
      <c r="V116" s="222">
        <f t="shared" si="5"/>
        <v>0</v>
      </c>
      <c r="W116" s="228">
        <f t="shared" si="6"/>
        <v>0</v>
      </c>
      <c r="X116" s="228"/>
      <c r="Y116" s="35"/>
    </row>
    <row r="117" spans="1:25" ht="15" hidden="1" customHeight="1" x14ac:dyDescent="0.25">
      <c r="A117" s="152" t="s">
        <v>214</v>
      </c>
      <c r="B117" s="110" t="s">
        <v>266</v>
      </c>
      <c r="C117" s="25"/>
      <c r="D117" s="405"/>
      <c r="E117" s="406"/>
      <c r="F117" s="34">
        <f>D117*E117</f>
        <v>0</v>
      </c>
      <c r="G117" s="35">
        <f>F117*C4</f>
        <v>0</v>
      </c>
      <c r="H117" s="239"/>
      <c r="I117" s="239"/>
      <c r="J117" s="239"/>
      <c r="K117" s="239"/>
      <c r="L117" s="239"/>
      <c r="M117" s="239"/>
      <c r="N117" s="239"/>
      <c r="O117" s="239"/>
      <c r="P117" s="239"/>
      <c r="Q117" s="250"/>
      <c r="R117" s="261"/>
      <c r="S117" s="222">
        <f t="shared" si="2"/>
        <v>0</v>
      </c>
      <c r="T117" s="228">
        <f t="shared" si="3"/>
        <v>0</v>
      </c>
      <c r="U117" s="222">
        <f t="shared" si="4"/>
        <v>0</v>
      </c>
      <c r="V117" s="222">
        <f t="shared" si="5"/>
        <v>0</v>
      </c>
      <c r="W117" s="228">
        <f t="shared" si="6"/>
        <v>0</v>
      </c>
      <c r="X117" s="228"/>
      <c r="Y117" s="35"/>
    </row>
    <row r="118" spans="1:25" ht="15" customHeight="1" x14ac:dyDescent="0.25">
      <c r="A118" s="217" t="s">
        <v>103</v>
      </c>
      <c r="B118" s="218" t="s">
        <v>72</v>
      </c>
      <c r="C118" s="214"/>
      <c r="D118" s="215"/>
      <c r="E118" s="216"/>
      <c r="F118" s="211">
        <f>SUM(F119:F123)</f>
        <v>81000</v>
      </c>
      <c r="G118" s="212">
        <f>SUM(G119:G123)</f>
        <v>81000</v>
      </c>
      <c r="H118" s="239"/>
      <c r="I118" s="239"/>
      <c r="J118" s="239"/>
      <c r="K118" s="239"/>
      <c r="L118" s="239"/>
      <c r="M118" s="239"/>
      <c r="N118" s="239"/>
      <c r="O118" s="239"/>
      <c r="P118" s="239"/>
      <c r="Q118" s="250"/>
      <c r="R118" s="261"/>
      <c r="S118" s="236">
        <f t="shared" si="2"/>
        <v>-81000</v>
      </c>
      <c r="T118" s="237">
        <f t="shared" si="3"/>
        <v>-1</v>
      </c>
      <c r="U118" s="236">
        <f t="shared" si="4"/>
        <v>0</v>
      </c>
      <c r="V118" s="236">
        <f t="shared" si="5"/>
        <v>-81000</v>
      </c>
      <c r="W118" s="237">
        <f t="shared" si="6"/>
        <v>-1</v>
      </c>
      <c r="X118" s="237"/>
      <c r="Y118" s="35"/>
    </row>
    <row r="119" spans="1:25" ht="15" customHeight="1" x14ac:dyDescent="0.25">
      <c r="A119" s="152" t="s">
        <v>215</v>
      </c>
      <c r="B119" s="110" t="s">
        <v>508</v>
      </c>
      <c r="C119" s="25" t="s">
        <v>509</v>
      </c>
      <c r="D119" s="405">
        <v>30</v>
      </c>
      <c r="E119" s="406">
        <v>900</v>
      </c>
      <c r="F119" s="34">
        <f>D119*E119</f>
        <v>27000</v>
      </c>
      <c r="G119" s="35">
        <f>F119*C4</f>
        <v>27000</v>
      </c>
      <c r="H119" s="239"/>
      <c r="I119" s="239"/>
      <c r="J119" s="239"/>
      <c r="K119" s="239"/>
      <c r="L119" s="239"/>
      <c r="M119" s="239"/>
      <c r="N119" s="239"/>
      <c r="O119" s="239"/>
      <c r="P119" s="239"/>
      <c r="Q119" s="250"/>
      <c r="R119" s="261"/>
      <c r="S119" s="222">
        <f t="shared" si="2"/>
        <v>-27000</v>
      </c>
      <c r="T119" s="228">
        <f t="shared" si="3"/>
        <v>-1</v>
      </c>
      <c r="U119" s="222">
        <f t="shared" si="4"/>
        <v>0</v>
      </c>
      <c r="V119" s="222">
        <f t="shared" si="5"/>
        <v>-27000</v>
      </c>
      <c r="W119" s="228">
        <f t="shared" si="6"/>
        <v>-1</v>
      </c>
      <c r="X119" s="228"/>
      <c r="Y119" s="35"/>
    </row>
    <row r="120" spans="1:25" ht="15" customHeight="1" x14ac:dyDescent="0.25">
      <c r="A120" s="152" t="s">
        <v>216</v>
      </c>
      <c r="B120" s="110" t="s">
        <v>510</v>
      </c>
      <c r="C120" s="25" t="s">
        <v>511</v>
      </c>
      <c r="D120" s="405">
        <v>300</v>
      </c>
      <c r="E120" s="406">
        <f>125</f>
        <v>125</v>
      </c>
      <c r="F120" s="34">
        <f>D120*E120</f>
        <v>37500</v>
      </c>
      <c r="G120" s="35">
        <f>F120*C4</f>
        <v>37500</v>
      </c>
      <c r="H120" s="239"/>
      <c r="I120" s="239"/>
      <c r="J120" s="239"/>
      <c r="K120" s="239"/>
      <c r="L120" s="239"/>
      <c r="M120" s="239"/>
      <c r="N120" s="239"/>
      <c r="O120" s="239"/>
      <c r="P120" s="239"/>
      <c r="Q120" s="250"/>
      <c r="R120" s="261"/>
      <c r="S120" s="222">
        <f t="shared" si="2"/>
        <v>-37500</v>
      </c>
      <c r="T120" s="228">
        <f t="shared" si="3"/>
        <v>-1</v>
      </c>
      <c r="U120" s="222">
        <f t="shared" si="4"/>
        <v>0</v>
      </c>
      <c r="V120" s="222">
        <f t="shared" si="5"/>
        <v>-37500</v>
      </c>
      <c r="W120" s="228">
        <f t="shared" si="6"/>
        <v>-1</v>
      </c>
      <c r="X120" s="228"/>
      <c r="Y120" s="35"/>
    </row>
    <row r="121" spans="1:25" ht="15" customHeight="1" x14ac:dyDescent="0.25">
      <c r="A121" s="152" t="s">
        <v>217</v>
      </c>
      <c r="B121" s="110" t="s">
        <v>512</v>
      </c>
      <c r="C121" s="25" t="s">
        <v>511</v>
      </c>
      <c r="D121" s="405">
        <v>300</v>
      </c>
      <c r="E121" s="406">
        <v>25</v>
      </c>
      <c r="F121" s="34">
        <f>D121*E121</f>
        <v>7500</v>
      </c>
      <c r="G121" s="35">
        <f>F121*C4</f>
        <v>7500</v>
      </c>
      <c r="H121" s="239"/>
      <c r="I121" s="239"/>
      <c r="J121" s="239"/>
      <c r="K121" s="239"/>
      <c r="L121" s="239"/>
      <c r="M121" s="239"/>
      <c r="N121" s="239"/>
      <c r="O121" s="239"/>
      <c r="P121" s="239"/>
      <c r="Q121" s="250"/>
      <c r="R121" s="261"/>
      <c r="S121" s="222">
        <f t="shared" si="2"/>
        <v>-7500</v>
      </c>
      <c r="T121" s="228">
        <f t="shared" si="3"/>
        <v>-1</v>
      </c>
      <c r="U121" s="222">
        <f t="shared" si="4"/>
        <v>0</v>
      </c>
      <c r="V121" s="222">
        <f t="shared" si="5"/>
        <v>-7500</v>
      </c>
      <c r="W121" s="228">
        <f t="shared" si="6"/>
        <v>-1</v>
      </c>
      <c r="X121" s="228"/>
      <c r="Y121" s="35"/>
    </row>
    <row r="122" spans="1:25" ht="15" customHeight="1" x14ac:dyDescent="0.25">
      <c r="A122" s="152" t="s">
        <v>218</v>
      </c>
      <c r="B122" s="110" t="s">
        <v>513</v>
      </c>
      <c r="C122" s="25" t="s">
        <v>511</v>
      </c>
      <c r="D122" s="405">
        <v>300</v>
      </c>
      <c r="E122" s="406">
        <v>30</v>
      </c>
      <c r="F122" s="34">
        <f>D122*E122</f>
        <v>9000</v>
      </c>
      <c r="G122" s="35">
        <f>F122*C4</f>
        <v>9000</v>
      </c>
      <c r="H122" s="239"/>
      <c r="I122" s="239"/>
      <c r="J122" s="239"/>
      <c r="K122" s="239"/>
      <c r="L122" s="239"/>
      <c r="M122" s="239"/>
      <c r="N122" s="239"/>
      <c r="O122" s="239"/>
      <c r="P122" s="239"/>
      <c r="Q122" s="250"/>
      <c r="R122" s="261"/>
      <c r="S122" s="222">
        <f t="shared" si="2"/>
        <v>-9000</v>
      </c>
      <c r="T122" s="228">
        <f t="shared" si="3"/>
        <v>-1</v>
      </c>
      <c r="U122" s="222">
        <f t="shared" si="4"/>
        <v>0</v>
      </c>
      <c r="V122" s="222">
        <f t="shared" si="5"/>
        <v>-9000</v>
      </c>
      <c r="W122" s="228">
        <f t="shared" si="6"/>
        <v>-1</v>
      </c>
      <c r="X122" s="228"/>
      <c r="Y122" s="35"/>
    </row>
    <row r="123" spans="1:25" ht="15" hidden="1" customHeight="1" x14ac:dyDescent="0.25">
      <c r="A123" s="152" t="s">
        <v>219</v>
      </c>
      <c r="B123" s="110" t="s">
        <v>271</v>
      </c>
      <c r="C123" s="25"/>
      <c r="D123" s="405"/>
      <c r="E123" s="406"/>
      <c r="F123" s="34">
        <f>D123*E123</f>
        <v>0</v>
      </c>
      <c r="G123" s="35">
        <f>F123*C4</f>
        <v>0</v>
      </c>
      <c r="H123" s="239"/>
      <c r="I123" s="239"/>
      <c r="J123" s="239"/>
      <c r="K123" s="239"/>
      <c r="L123" s="239"/>
      <c r="M123" s="239"/>
      <c r="N123" s="239"/>
      <c r="O123" s="239"/>
      <c r="P123" s="239"/>
      <c r="Q123" s="250"/>
      <c r="R123" s="261"/>
      <c r="S123" s="222">
        <f t="shared" si="2"/>
        <v>0</v>
      </c>
      <c r="T123" s="228">
        <f t="shared" si="3"/>
        <v>0</v>
      </c>
      <c r="U123" s="222">
        <f t="shared" si="4"/>
        <v>0</v>
      </c>
      <c r="V123" s="222">
        <f t="shared" si="5"/>
        <v>0</v>
      </c>
      <c r="W123" s="228">
        <f t="shared" si="6"/>
        <v>0</v>
      </c>
      <c r="X123" s="228"/>
      <c r="Y123" s="35"/>
    </row>
    <row r="124" spans="1:25" ht="15" customHeight="1" x14ac:dyDescent="0.25">
      <c r="A124" s="217" t="s">
        <v>104</v>
      </c>
      <c r="B124" s="218" t="s">
        <v>73</v>
      </c>
      <c r="C124" s="214"/>
      <c r="D124" s="215"/>
      <c r="E124" s="216"/>
      <c r="F124" s="211">
        <f>SUM(F125:F129)</f>
        <v>26250</v>
      </c>
      <c r="G124" s="212">
        <f>SUM(G125:G129)</f>
        <v>26250</v>
      </c>
      <c r="H124" s="239"/>
      <c r="I124" s="239"/>
      <c r="J124" s="239"/>
      <c r="K124" s="239"/>
      <c r="L124" s="239"/>
      <c r="M124" s="239"/>
      <c r="N124" s="239"/>
      <c r="O124" s="239"/>
      <c r="P124" s="239"/>
      <c r="Q124" s="250"/>
      <c r="R124" s="261"/>
      <c r="S124" s="236">
        <f t="shared" si="2"/>
        <v>-26250</v>
      </c>
      <c r="T124" s="237">
        <f t="shared" si="3"/>
        <v>-1</v>
      </c>
      <c r="U124" s="236">
        <f t="shared" si="4"/>
        <v>0</v>
      </c>
      <c r="V124" s="236">
        <f t="shared" si="5"/>
        <v>-26250</v>
      </c>
      <c r="W124" s="237">
        <f t="shared" si="6"/>
        <v>-1</v>
      </c>
      <c r="X124" s="237"/>
      <c r="Y124" s="35"/>
    </row>
    <row r="125" spans="1:25" ht="15" customHeight="1" x14ac:dyDescent="0.25">
      <c r="A125" s="152" t="s">
        <v>220</v>
      </c>
      <c r="B125" s="110" t="s">
        <v>514</v>
      </c>
      <c r="C125" s="25" t="s">
        <v>461</v>
      </c>
      <c r="D125" s="405">
        <v>150</v>
      </c>
      <c r="E125" s="406">
        <v>175</v>
      </c>
      <c r="F125" s="34">
        <f>D125*E125</f>
        <v>26250</v>
      </c>
      <c r="G125" s="35">
        <f>F125*C4</f>
        <v>26250</v>
      </c>
      <c r="H125" s="239"/>
      <c r="I125" s="239"/>
      <c r="J125" s="239"/>
      <c r="K125" s="239"/>
      <c r="L125" s="239"/>
      <c r="M125" s="239"/>
      <c r="N125" s="239"/>
      <c r="O125" s="239"/>
      <c r="P125" s="239"/>
      <c r="Q125" s="250"/>
      <c r="R125" s="261"/>
      <c r="S125" s="222">
        <f t="shared" si="2"/>
        <v>-26250</v>
      </c>
      <c r="T125" s="228">
        <f t="shared" si="3"/>
        <v>-1</v>
      </c>
      <c r="U125" s="222">
        <f t="shared" si="4"/>
        <v>0</v>
      </c>
      <c r="V125" s="222">
        <f t="shared" si="5"/>
        <v>-26250</v>
      </c>
      <c r="W125" s="228">
        <f t="shared" si="6"/>
        <v>-1</v>
      </c>
      <c r="X125" s="228"/>
      <c r="Y125" s="35"/>
    </row>
    <row r="126" spans="1:25" ht="15" hidden="1" customHeight="1" x14ac:dyDescent="0.25">
      <c r="A126" s="152" t="s">
        <v>221</v>
      </c>
      <c r="B126" s="110" t="s">
        <v>273</v>
      </c>
      <c r="C126" s="25"/>
      <c r="D126" s="405"/>
      <c r="E126" s="406"/>
      <c r="F126" s="34">
        <f>D126*E126</f>
        <v>0</v>
      </c>
      <c r="G126" s="35">
        <f>F126*C4</f>
        <v>0</v>
      </c>
      <c r="H126" s="239"/>
      <c r="I126" s="239"/>
      <c r="J126" s="239"/>
      <c r="K126" s="239"/>
      <c r="L126" s="239"/>
      <c r="M126" s="239"/>
      <c r="N126" s="239"/>
      <c r="O126" s="239"/>
      <c r="P126" s="239"/>
      <c r="Q126" s="250"/>
      <c r="R126" s="261"/>
      <c r="S126" s="222">
        <f t="shared" si="2"/>
        <v>0</v>
      </c>
      <c r="T126" s="228">
        <f t="shared" si="3"/>
        <v>0</v>
      </c>
      <c r="U126" s="222">
        <f t="shared" si="4"/>
        <v>0</v>
      </c>
      <c r="V126" s="222">
        <f t="shared" si="5"/>
        <v>0</v>
      </c>
      <c r="W126" s="228">
        <f t="shared" si="6"/>
        <v>0</v>
      </c>
      <c r="X126" s="228"/>
      <c r="Y126" s="35"/>
    </row>
    <row r="127" spans="1:25" ht="15" hidden="1" customHeight="1" x14ac:dyDescent="0.25">
      <c r="A127" s="152" t="s">
        <v>222</v>
      </c>
      <c r="B127" s="110" t="s">
        <v>274</v>
      </c>
      <c r="C127" s="25"/>
      <c r="D127" s="405"/>
      <c r="E127" s="406"/>
      <c r="F127" s="34">
        <f>D127*E127</f>
        <v>0</v>
      </c>
      <c r="G127" s="35">
        <f>F127*C4</f>
        <v>0</v>
      </c>
      <c r="H127" s="239"/>
      <c r="I127" s="239"/>
      <c r="J127" s="239"/>
      <c r="K127" s="239"/>
      <c r="L127" s="239"/>
      <c r="M127" s="239"/>
      <c r="N127" s="239"/>
      <c r="O127" s="239"/>
      <c r="P127" s="239"/>
      <c r="Q127" s="250"/>
      <c r="R127" s="261"/>
      <c r="S127" s="222">
        <f t="shared" si="2"/>
        <v>0</v>
      </c>
      <c r="T127" s="228">
        <f t="shared" si="3"/>
        <v>0</v>
      </c>
      <c r="U127" s="222">
        <f t="shared" si="4"/>
        <v>0</v>
      </c>
      <c r="V127" s="222">
        <f t="shared" si="5"/>
        <v>0</v>
      </c>
      <c r="W127" s="228">
        <f t="shared" si="6"/>
        <v>0</v>
      </c>
      <c r="X127" s="228"/>
      <c r="Y127" s="35"/>
    </row>
    <row r="128" spans="1:25" ht="15" hidden="1" customHeight="1" x14ac:dyDescent="0.25">
      <c r="A128" s="152" t="s">
        <v>223</v>
      </c>
      <c r="B128" s="110" t="s">
        <v>275</v>
      </c>
      <c r="C128" s="25"/>
      <c r="D128" s="405"/>
      <c r="E128" s="406"/>
      <c r="F128" s="34">
        <f>D128*E128</f>
        <v>0</v>
      </c>
      <c r="G128" s="35">
        <f>F128*C4</f>
        <v>0</v>
      </c>
      <c r="H128" s="239"/>
      <c r="I128" s="239"/>
      <c r="J128" s="239"/>
      <c r="K128" s="239"/>
      <c r="L128" s="239"/>
      <c r="M128" s="239"/>
      <c r="N128" s="239"/>
      <c r="O128" s="239"/>
      <c r="P128" s="239"/>
      <c r="Q128" s="250"/>
      <c r="R128" s="261"/>
      <c r="S128" s="222">
        <f t="shared" si="2"/>
        <v>0</v>
      </c>
      <c r="T128" s="228">
        <f t="shared" si="3"/>
        <v>0</v>
      </c>
      <c r="U128" s="222">
        <f t="shared" si="4"/>
        <v>0</v>
      </c>
      <c r="V128" s="222">
        <f t="shared" si="5"/>
        <v>0</v>
      </c>
      <c r="W128" s="228">
        <f t="shared" si="6"/>
        <v>0</v>
      </c>
      <c r="X128" s="228"/>
      <c r="Y128" s="35"/>
    </row>
    <row r="129" spans="1:25" ht="15" hidden="1" customHeight="1" x14ac:dyDescent="0.25">
      <c r="A129" s="152" t="s">
        <v>224</v>
      </c>
      <c r="B129" s="110" t="s">
        <v>276</v>
      </c>
      <c r="C129" s="25"/>
      <c r="D129" s="405"/>
      <c r="E129" s="406"/>
      <c r="F129" s="34">
        <f>D129*E129</f>
        <v>0</v>
      </c>
      <c r="G129" s="35">
        <f>F129*C4</f>
        <v>0</v>
      </c>
      <c r="H129" s="239"/>
      <c r="I129" s="239"/>
      <c r="J129" s="239"/>
      <c r="K129" s="239"/>
      <c r="L129" s="239"/>
      <c r="M129" s="239"/>
      <c r="N129" s="239"/>
      <c r="O129" s="239"/>
      <c r="P129" s="239"/>
      <c r="Q129" s="250"/>
      <c r="R129" s="261"/>
      <c r="S129" s="222">
        <f t="shared" si="2"/>
        <v>0</v>
      </c>
      <c r="T129" s="228">
        <f t="shared" si="3"/>
        <v>0</v>
      </c>
      <c r="U129" s="222">
        <f t="shared" si="4"/>
        <v>0</v>
      </c>
      <c r="V129" s="222">
        <f t="shared" si="5"/>
        <v>0</v>
      </c>
      <c r="W129" s="228">
        <f t="shared" si="6"/>
        <v>0</v>
      </c>
      <c r="X129" s="228"/>
      <c r="Y129" s="35"/>
    </row>
    <row r="130" spans="1:25" ht="15" customHeight="1" x14ac:dyDescent="0.25">
      <c r="A130" s="217" t="s">
        <v>105</v>
      </c>
      <c r="B130" s="218" t="s">
        <v>58</v>
      </c>
      <c r="C130" s="214"/>
      <c r="D130" s="215"/>
      <c r="E130" s="216"/>
      <c r="F130" s="211">
        <f>SUM(F131:F135)</f>
        <v>92500</v>
      </c>
      <c r="G130" s="212">
        <f>SUM(G131:G135)</f>
        <v>92500</v>
      </c>
      <c r="H130" s="239"/>
      <c r="I130" s="239"/>
      <c r="J130" s="239"/>
      <c r="K130" s="239"/>
      <c r="L130" s="239"/>
      <c r="M130" s="239"/>
      <c r="N130" s="239"/>
      <c r="O130" s="239"/>
      <c r="P130" s="239"/>
      <c r="Q130" s="250"/>
      <c r="R130" s="261"/>
      <c r="S130" s="236">
        <f t="shared" si="2"/>
        <v>-92500</v>
      </c>
      <c r="T130" s="237">
        <f t="shared" si="3"/>
        <v>-1</v>
      </c>
      <c r="U130" s="236">
        <f t="shared" si="4"/>
        <v>0</v>
      </c>
      <c r="V130" s="236">
        <f t="shared" si="5"/>
        <v>-92500</v>
      </c>
      <c r="W130" s="237">
        <f t="shared" si="6"/>
        <v>-1</v>
      </c>
      <c r="X130" s="237"/>
      <c r="Y130" s="35"/>
    </row>
    <row r="131" spans="1:25" ht="15" customHeight="1" x14ac:dyDescent="0.25">
      <c r="A131" s="152" t="s">
        <v>225</v>
      </c>
      <c r="B131" s="110" t="s">
        <v>515</v>
      </c>
      <c r="C131" s="25" t="s">
        <v>511</v>
      </c>
      <c r="D131" s="405">
        <v>100</v>
      </c>
      <c r="E131" s="406">
        <v>175</v>
      </c>
      <c r="F131" s="34">
        <f>D131*E131</f>
        <v>17500</v>
      </c>
      <c r="G131" s="35">
        <f>F131*C4</f>
        <v>17500</v>
      </c>
      <c r="H131" s="239"/>
      <c r="I131" s="239"/>
      <c r="J131" s="239"/>
      <c r="K131" s="239"/>
      <c r="L131" s="239"/>
      <c r="M131" s="239"/>
      <c r="N131" s="239"/>
      <c r="O131" s="239"/>
      <c r="P131" s="239"/>
      <c r="Q131" s="250"/>
      <c r="R131" s="261"/>
      <c r="S131" s="222">
        <f t="shared" si="2"/>
        <v>-17500</v>
      </c>
      <c r="T131" s="228">
        <f t="shared" si="3"/>
        <v>-1</v>
      </c>
      <c r="U131" s="222">
        <f t="shared" si="4"/>
        <v>0</v>
      </c>
      <c r="V131" s="222">
        <f t="shared" si="5"/>
        <v>-17500</v>
      </c>
      <c r="W131" s="228">
        <f t="shared" si="6"/>
        <v>-1</v>
      </c>
      <c r="X131" s="228"/>
      <c r="Y131" s="35"/>
    </row>
    <row r="132" spans="1:25" ht="15" customHeight="1" x14ac:dyDescent="0.25">
      <c r="A132" s="152" t="s">
        <v>226</v>
      </c>
      <c r="B132" s="110" t="s">
        <v>516</v>
      </c>
      <c r="C132" s="25" t="s">
        <v>461</v>
      </c>
      <c r="D132" s="405">
        <v>50</v>
      </c>
      <c r="E132" s="406">
        <v>1500</v>
      </c>
      <c r="F132" s="34">
        <f>D132*E132</f>
        <v>75000</v>
      </c>
      <c r="G132" s="35">
        <f>F132*C4</f>
        <v>75000</v>
      </c>
      <c r="H132" s="239"/>
      <c r="I132" s="239"/>
      <c r="J132" s="239"/>
      <c r="K132" s="239"/>
      <c r="L132" s="239"/>
      <c r="M132" s="239"/>
      <c r="N132" s="239"/>
      <c r="O132" s="239"/>
      <c r="P132" s="239"/>
      <c r="Q132" s="250"/>
      <c r="R132" s="261"/>
      <c r="S132" s="222">
        <f t="shared" si="2"/>
        <v>-75000</v>
      </c>
      <c r="T132" s="228">
        <f t="shared" si="3"/>
        <v>-1</v>
      </c>
      <c r="U132" s="222">
        <f t="shared" si="4"/>
        <v>0</v>
      </c>
      <c r="V132" s="222">
        <f t="shared" si="5"/>
        <v>-75000</v>
      </c>
      <c r="W132" s="228">
        <f t="shared" si="6"/>
        <v>-1</v>
      </c>
      <c r="X132" s="228"/>
      <c r="Y132" s="35"/>
    </row>
    <row r="133" spans="1:25" ht="15" hidden="1" customHeight="1" x14ac:dyDescent="0.25">
      <c r="A133" s="152" t="s">
        <v>227</v>
      </c>
      <c r="B133" s="110" t="s">
        <v>279</v>
      </c>
      <c r="C133" s="25"/>
      <c r="D133" s="405"/>
      <c r="E133" s="406"/>
      <c r="F133" s="34">
        <f>D133*E133</f>
        <v>0</v>
      </c>
      <c r="G133" s="35">
        <f>F133*C4</f>
        <v>0</v>
      </c>
      <c r="H133" s="239"/>
      <c r="I133" s="239"/>
      <c r="J133" s="239"/>
      <c r="K133" s="239"/>
      <c r="L133" s="239"/>
      <c r="M133" s="239"/>
      <c r="N133" s="239"/>
      <c r="O133" s="239"/>
      <c r="P133" s="239"/>
      <c r="Q133" s="250"/>
      <c r="R133" s="261"/>
      <c r="S133" s="222">
        <f t="shared" si="2"/>
        <v>0</v>
      </c>
      <c r="T133" s="228">
        <f t="shared" si="3"/>
        <v>0</v>
      </c>
      <c r="U133" s="222">
        <f t="shared" si="4"/>
        <v>0</v>
      </c>
      <c r="V133" s="222">
        <f t="shared" si="5"/>
        <v>0</v>
      </c>
      <c r="W133" s="228">
        <f t="shared" si="6"/>
        <v>0</v>
      </c>
      <c r="X133" s="228"/>
      <c r="Y133" s="35"/>
    </row>
    <row r="134" spans="1:25" ht="15" hidden="1" customHeight="1" x14ac:dyDescent="0.25">
      <c r="A134" s="152" t="s">
        <v>228</v>
      </c>
      <c r="B134" s="110" t="s">
        <v>280</v>
      </c>
      <c r="C134" s="25"/>
      <c r="D134" s="405"/>
      <c r="E134" s="406"/>
      <c r="F134" s="34">
        <f>D134*E134</f>
        <v>0</v>
      </c>
      <c r="G134" s="35">
        <f>F134*C4</f>
        <v>0</v>
      </c>
      <c r="H134" s="239"/>
      <c r="I134" s="239"/>
      <c r="J134" s="239"/>
      <c r="K134" s="239"/>
      <c r="L134" s="239"/>
      <c r="M134" s="239"/>
      <c r="N134" s="239"/>
      <c r="O134" s="239"/>
      <c r="P134" s="239"/>
      <c r="Q134" s="250"/>
      <c r="R134" s="261"/>
      <c r="S134" s="222">
        <f t="shared" si="2"/>
        <v>0</v>
      </c>
      <c r="T134" s="228">
        <f t="shared" si="3"/>
        <v>0</v>
      </c>
      <c r="U134" s="222">
        <f t="shared" si="4"/>
        <v>0</v>
      </c>
      <c r="V134" s="222">
        <f t="shared" si="5"/>
        <v>0</v>
      </c>
      <c r="W134" s="228">
        <f t="shared" si="6"/>
        <v>0</v>
      </c>
      <c r="X134" s="228"/>
      <c r="Y134" s="35"/>
    </row>
    <row r="135" spans="1:25" ht="15" hidden="1" customHeight="1" x14ac:dyDescent="0.25">
      <c r="A135" s="152" t="s">
        <v>229</v>
      </c>
      <c r="B135" s="110" t="s">
        <v>281</v>
      </c>
      <c r="C135" s="25"/>
      <c r="D135" s="405"/>
      <c r="E135" s="406"/>
      <c r="F135" s="34">
        <f>D135*E135</f>
        <v>0</v>
      </c>
      <c r="G135" s="35">
        <f>F135*C4</f>
        <v>0</v>
      </c>
      <c r="H135" s="239"/>
      <c r="I135" s="239"/>
      <c r="J135" s="239"/>
      <c r="K135" s="239"/>
      <c r="L135" s="239"/>
      <c r="M135" s="239"/>
      <c r="N135" s="239"/>
      <c r="O135" s="239"/>
      <c r="P135" s="239"/>
      <c r="Q135" s="250"/>
      <c r="R135" s="261"/>
      <c r="S135" s="222">
        <f t="shared" si="2"/>
        <v>0</v>
      </c>
      <c r="T135" s="228">
        <f t="shared" si="3"/>
        <v>0</v>
      </c>
      <c r="U135" s="222">
        <f t="shared" si="4"/>
        <v>0</v>
      </c>
      <c r="V135" s="222">
        <f t="shared" si="5"/>
        <v>0</v>
      </c>
      <c r="W135" s="228">
        <f t="shared" si="6"/>
        <v>0</v>
      </c>
      <c r="X135" s="228"/>
      <c r="Y135" s="35"/>
    </row>
    <row r="136" spans="1:25" ht="15" customHeight="1" x14ac:dyDescent="0.25">
      <c r="A136" s="217" t="s">
        <v>106</v>
      </c>
      <c r="B136" s="218" t="s">
        <v>57</v>
      </c>
      <c r="C136" s="214"/>
      <c r="D136" s="215"/>
      <c r="E136" s="216"/>
      <c r="F136" s="211">
        <f>SUM(F137:F141)</f>
        <v>530000</v>
      </c>
      <c r="G136" s="212">
        <f>SUM(G137:G141)</f>
        <v>530000</v>
      </c>
      <c r="H136" s="239"/>
      <c r="I136" s="239"/>
      <c r="J136" s="239"/>
      <c r="K136" s="239"/>
      <c r="L136" s="239"/>
      <c r="M136" s="239"/>
      <c r="N136" s="239"/>
      <c r="O136" s="239"/>
      <c r="P136" s="239"/>
      <c r="Q136" s="250"/>
      <c r="R136" s="261"/>
      <c r="S136" s="236">
        <f t="shared" si="2"/>
        <v>-530000</v>
      </c>
      <c r="T136" s="237">
        <f t="shared" si="3"/>
        <v>-1</v>
      </c>
      <c r="U136" s="236">
        <f t="shared" si="4"/>
        <v>0</v>
      </c>
      <c r="V136" s="236">
        <f t="shared" si="5"/>
        <v>-530000</v>
      </c>
      <c r="W136" s="237">
        <f t="shared" si="6"/>
        <v>-1</v>
      </c>
      <c r="X136" s="237"/>
      <c r="Y136" s="35"/>
    </row>
    <row r="137" spans="1:25" ht="15" customHeight="1" x14ac:dyDescent="0.25">
      <c r="A137" s="152" t="s">
        <v>230</v>
      </c>
      <c r="B137" s="110" t="s">
        <v>467</v>
      </c>
      <c r="C137" s="25" t="s">
        <v>468</v>
      </c>
      <c r="D137" s="405">
        <v>0</v>
      </c>
      <c r="E137" s="406">
        <v>300</v>
      </c>
      <c r="F137" s="34">
        <f>D137*E137</f>
        <v>0</v>
      </c>
      <c r="G137" s="35">
        <f>F137*C4</f>
        <v>0</v>
      </c>
      <c r="H137" s="239"/>
      <c r="I137" s="239"/>
      <c r="J137" s="239"/>
      <c r="K137" s="239"/>
      <c r="L137" s="239"/>
      <c r="M137" s="239"/>
      <c r="N137" s="239"/>
      <c r="O137" s="239"/>
      <c r="P137" s="239"/>
      <c r="Q137" s="250"/>
      <c r="R137" s="261"/>
      <c r="S137" s="222">
        <f t="shared" si="2"/>
        <v>0</v>
      </c>
      <c r="T137" s="228">
        <f t="shared" si="3"/>
        <v>0</v>
      </c>
      <c r="U137" s="222">
        <f t="shared" si="4"/>
        <v>0</v>
      </c>
      <c r="V137" s="222">
        <f t="shared" si="5"/>
        <v>0</v>
      </c>
      <c r="W137" s="228">
        <f t="shared" si="6"/>
        <v>0</v>
      </c>
      <c r="X137" s="228"/>
      <c r="Y137" s="35"/>
    </row>
    <row r="138" spans="1:25" ht="15" customHeight="1" x14ac:dyDescent="0.25">
      <c r="A138" s="152" t="s">
        <v>231</v>
      </c>
      <c r="B138" s="110" t="s">
        <v>469</v>
      </c>
      <c r="C138" s="25" t="s">
        <v>468</v>
      </c>
      <c r="D138" s="405">
        <v>200</v>
      </c>
      <c r="E138" s="406">
        <v>600</v>
      </c>
      <c r="F138" s="34">
        <f>D138*E138</f>
        <v>120000</v>
      </c>
      <c r="G138" s="35">
        <f>F138*C4</f>
        <v>120000</v>
      </c>
      <c r="H138" s="239"/>
      <c r="I138" s="239"/>
      <c r="J138" s="239"/>
      <c r="K138" s="239"/>
      <c r="L138" s="239"/>
      <c r="M138" s="239"/>
      <c r="N138" s="239"/>
      <c r="O138" s="239"/>
      <c r="P138" s="239"/>
      <c r="Q138" s="250"/>
      <c r="R138" s="261"/>
      <c r="S138" s="222">
        <f t="shared" si="2"/>
        <v>-120000</v>
      </c>
      <c r="T138" s="228">
        <f t="shared" si="3"/>
        <v>-1</v>
      </c>
      <c r="U138" s="222">
        <f t="shared" si="4"/>
        <v>0</v>
      </c>
      <c r="V138" s="222">
        <f t="shared" si="5"/>
        <v>-120000</v>
      </c>
      <c r="W138" s="228">
        <f t="shared" si="6"/>
        <v>-1</v>
      </c>
      <c r="X138" s="228"/>
      <c r="Y138" s="35"/>
    </row>
    <row r="139" spans="1:25" ht="15" customHeight="1" x14ac:dyDescent="0.25">
      <c r="A139" s="152" t="s">
        <v>232</v>
      </c>
      <c r="B139" s="110" t="s">
        <v>517</v>
      </c>
      <c r="C139" s="25" t="s">
        <v>468</v>
      </c>
      <c r="D139" s="405">
        <v>400</v>
      </c>
      <c r="E139" s="406">
        <v>400</v>
      </c>
      <c r="F139" s="34">
        <f>D139*E139</f>
        <v>160000</v>
      </c>
      <c r="G139" s="35">
        <f>F139*C4</f>
        <v>160000</v>
      </c>
      <c r="H139" s="239"/>
      <c r="I139" s="239"/>
      <c r="J139" s="239"/>
      <c r="K139" s="239"/>
      <c r="L139" s="239"/>
      <c r="M139" s="239"/>
      <c r="N139" s="239"/>
      <c r="O139" s="239"/>
      <c r="P139" s="239"/>
      <c r="Q139" s="250"/>
      <c r="R139" s="261"/>
      <c r="S139" s="222">
        <f t="shared" si="2"/>
        <v>-160000</v>
      </c>
      <c r="T139" s="228">
        <f t="shared" si="3"/>
        <v>-1</v>
      </c>
      <c r="U139" s="222">
        <f t="shared" si="4"/>
        <v>0</v>
      </c>
      <c r="V139" s="222">
        <f t="shared" si="5"/>
        <v>-160000</v>
      </c>
      <c r="W139" s="228">
        <f t="shared" si="6"/>
        <v>-1</v>
      </c>
      <c r="X139" s="228"/>
      <c r="Y139" s="35"/>
    </row>
    <row r="140" spans="1:25" ht="15" customHeight="1" x14ac:dyDescent="0.25">
      <c r="A140" s="152" t="s">
        <v>233</v>
      </c>
      <c r="B140" s="110" t="s">
        <v>518</v>
      </c>
      <c r="C140" s="25" t="s">
        <v>482</v>
      </c>
      <c r="D140" s="405">
        <v>1</v>
      </c>
      <c r="E140" s="406">
        <v>10000</v>
      </c>
      <c r="F140" s="34">
        <f>D140*E140</f>
        <v>10000</v>
      </c>
      <c r="G140" s="35">
        <f>F140*C4</f>
        <v>10000</v>
      </c>
      <c r="H140" s="239"/>
      <c r="I140" s="239"/>
      <c r="J140" s="239"/>
      <c r="K140" s="239"/>
      <c r="L140" s="239"/>
      <c r="M140" s="239"/>
      <c r="N140" s="239"/>
      <c r="O140" s="239"/>
      <c r="P140" s="239"/>
      <c r="Q140" s="250"/>
      <c r="R140" s="261"/>
      <c r="S140" s="222">
        <f t="shared" si="2"/>
        <v>-10000</v>
      </c>
      <c r="T140" s="228">
        <f t="shared" si="3"/>
        <v>-1</v>
      </c>
      <c r="U140" s="222">
        <f t="shared" si="4"/>
        <v>0</v>
      </c>
      <c r="V140" s="222">
        <f t="shared" si="5"/>
        <v>-10000</v>
      </c>
      <c r="W140" s="228">
        <f t="shared" si="6"/>
        <v>-1</v>
      </c>
      <c r="X140" s="228"/>
      <c r="Y140" s="35"/>
    </row>
    <row r="141" spans="1:25" ht="15" customHeight="1" x14ac:dyDescent="0.25">
      <c r="A141" s="152" t="s">
        <v>234</v>
      </c>
      <c r="B141" s="110" t="s">
        <v>519</v>
      </c>
      <c r="C141" s="25" t="s">
        <v>468</v>
      </c>
      <c r="D141" s="405">
        <v>400</v>
      </c>
      <c r="E141" s="406">
        <v>600</v>
      </c>
      <c r="F141" s="34">
        <f>D141*E141</f>
        <v>240000</v>
      </c>
      <c r="G141" s="35">
        <f>F141*C4</f>
        <v>240000</v>
      </c>
      <c r="H141" s="239"/>
      <c r="I141" s="239"/>
      <c r="J141" s="239"/>
      <c r="K141" s="239"/>
      <c r="L141" s="239"/>
      <c r="M141" s="239"/>
      <c r="N141" s="239"/>
      <c r="O141" s="239"/>
      <c r="P141" s="239"/>
      <c r="Q141" s="250"/>
      <c r="R141" s="261"/>
      <c r="S141" s="222">
        <f t="shared" si="2"/>
        <v>-240000</v>
      </c>
      <c r="T141" s="228">
        <f t="shared" si="3"/>
        <v>-1</v>
      </c>
      <c r="U141" s="222">
        <f t="shared" si="4"/>
        <v>0</v>
      </c>
      <c r="V141" s="222">
        <f t="shared" si="5"/>
        <v>-240000</v>
      </c>
      <c r="W141" s="228">
        <f t="shared" si="6"/>
        <v>-1</v>
      </c>
      <c r="X141" s="228"/>
      <c r="Y141" s="35"/>
    </row>
    <row r="142" spans="1:25" ht="15" customHeight="1" x14ac:dyDescent="0.25">
      <c r="A142" s="217" t="s">
        <v>107</v>
      </c>
      <c r="B142" s="218" t="s">
        <v>74</v>
      </c>
      <c r="C142" s="214"/>
      <c r="D142" s="215"/>
      <c r="E142" s="216"/>
      <c r="F142" s="211">
        <f>SUM(F143:F147)</f>
        <v>0</v>
      </c>
      <c r="G142" s="212">
        <f>SUM(G143:G147)</f>
        <v>0</v>
      </c>
      <c r="H142" s="239"/>
      <c r="I142" s="239"/>
      <c r="J142" s="239"/>
      <c r="K142" s="239"/>
      <c r="L142" s="239"/>
      <c r="M142" s="239"/>
      <c r="N142" s="239"/>
      <c r="O142" s="239"/>
      <c r="P142" s="239"/>
      <c r="Q142" s="250"/>
      <c r="R142" s="261"/>
      <c r="S142" s="236">
        <f t="shared" si="2"/>
        <v>0</v>
      </c>
      <c r="T142" s="237">
        <f t="shared" si="3"/>
        <v>0</v>
      </c>
      <c r="U142" s="236">
        <f t="shared" si="4"/>
        <v>0</v>
      </c>
      <c r="V142" s="236">
        <f t="shared" si="5"/>
        <v>0</v>
      </c>
      <c r="W142" s="237">
        <f t="shared" si="6"/>
        <v>0</v>
      </c>
      <c r="X142" s="237"/>
      <c r="Y142" s="35"/>
    </row>
    <row r="143" spans="1:25" ht="15" hidden="1" customHeight="1" x14ac:dyDescent="0.25">
      <c r="A143" s="152" t="s">
        <v>235</v>
      </c>
      <c r="B143" s="110" t="s">
        <v>287</v>
      </c>
      <c r="C143" s="25"/>
      <c r="D143" s="405"/>
      <c r="E143" s="406"/>
      <c r="F143" s="34">
        <f>D143*E143</f>
        <v>0</v>
      </c>
      <c r="G143" s="35">
        <f>F143*C4</f>
        <v>0</v>
      </c>
      <c r="H143" s="239"/>
      <c r="I143" s="239"/>
      <c r="J143" s="239"/>
      <c r="K143" s="239"/>
      <c r="L143" s="239"/>
      <c r="M143" s="239"/>
      <c r="N143" s="239"/>
      <c r="O143" s="239"/>
      <c r="P143" s="239"/>
      <c r="Q143" s="250"/>
      <c r="R143" s="261"/>
      <c r="S143" s="222">
        <f t="shared" si="2"/>
        <v>0</v>
      </c>
      <c r="T143" s="228">
        <f t="shared" si="3"/>
        <v>0</v>
      </c>
      <c r="U143" s="222">
        <f t="shared" si="4"/>
        <v>0</v>
      </c>
      <c r="V143" s="222">
        <f t="shared" si="5"/>
        <v>0</v>
      </c>
      <c r="W143" s="228">
        <f t="shared" si="6"/>
        <v>0</v>
      </c>
      <c r="X143" s="228"/>
      <c r="Y143" s="35"/>
    </row>
    <row r="144" spans="1:25" ht="15" hidden="1" customHeight="1" x14ac:dyDescent="0.25">
      <c r="A144" s="152" t="s">
        <v>236</v>
      </c>
      <c r="B144" s="110" t="s">
        <v>288</v>
      </c>
      <c r="C144" s="25"/>
      <c r="D144" s="405"/>
      <c r="E144" s="406"/>
      <c r="F144" s="34">
        <f>D144*E144</f>
        <v>0</v>
      </c>
      <c r="G144" s="35">
        <f>F144*C4</f>
        <v>0</v>
      </c>
      <c r="H144" s="239"/>
      <c r="I144" s="239"/>
      <c r="J144" s="239"/>
      <c r="K144" s="239"/>
      <c r="L144" s="239"/>
      <c r="M144" s="239"/>
      <c r="N144" s="239"/>
      <c r="O144" s="239"/>
      <c r="P144" s="239"/>
      <c r="Q144" s="250"/>
      <c r="R144" s="261"/>
      <c r="S144" s="222">
        <f t="shared" ref="S144:S207" si="8">R144-F144</f>
        <v>0</v>
      </c>
      <c r="T144" s="228">
        <f t="shared" ref="T144:T207" si="9">IF(F144=0,0,S144/F144)</f>
        <v>0</v>
      </c>
      <c r="U144" s="222">
        <f t="shared" ref="U144:U207" si="10">R144*$C$4</f>
        <v>0</v>
      </c>
      <c r="V144" s="222">
        <f t="shared" ref="V144:V207" si="11">U144-G144</f>
        <v>0</v>
      </c>
      <c r="W144" s="228">
        <f t="shared" ref="W144:W207" si="12">IF(G144=0,0,V144/G144)</f>
        <v>0</v>
      </c>
      <c r="X144" s="228"/>
      <c r="Y144" s="35"/>
    </row>
    <row r="145" spans="1:25" ht="15" hidden="1" customHeight="1" x14ac:dyDescent="0.25">
      <c r="A145" s="152" t="s">
        <v>237</v>
      </c>
      <c r="B145" s="110" t="s">
        <v>289</v>
      </c>
      <c r="C145" s="25"/>
      <c r="D145" s="405"/>
      <c r="E145" s="406"/>
      <c r="F145" s="34">
        <f>D145*E145</f>
        <v>0</v>
      </c>
      <c r="G145" s="35">
        <f>F145*C4</f>
        <v>0</v>
      </c>
      <c r="H145" s="239"/>
      <c r="I145" s="239"/>
      <c r="J145" s="239"/>
      <c r="K145" s="239"/>
      <c r="L145" s="239"/>
      <c r="M145" s="239"/>
      <c r="N145" s="239"/>
      <c r="O145" s="239"/>
      <c r="P145" s="239"/>
      <c r="Q145" s="250"/>
      <c r="R145" s="261"/>
      <c r="S145" s="222">
        <f t="shared" si="8"/>
        <v>0</v>
      </c>
      <c r="T145" s="228">
        <f t="shared" si="9"/>
        <v>0</v>
      </c>
      <c r="U145" s="222">
        <f t="shared" si="10"/>
        <v>0</v>
      </c>
      <c r="V145" s="222">
        <f t="shared" si="11"/>
        <v>0</v>
      </c>
      <c r="W145" s="228">
        <f t="shared" si="12"/>
        <v>0</v>
      </c>
      <c r="X145" s="228"/>
      <c r="Y145" s="35"/>
    </row>
    <row r="146" spans="1:25" ht="15" hidden="1" customHeight="1" x14ac:dyDescent="0.25">
      <c r="A146" s="152" t="s">
        <v>238</v>
      </c>
      <c r="B146" s="110" t="s">
        <v>290</v>
      </c>
      <c r="C146" s="25"/>
      <c r="D146" s="405"/>
      <c r="E146" s="406"/>
      <c r="F146" s="34">
        <f>D146*E146</f>
        <v>0</v>
      </c>
      <c r="G146" s="35">
        <f>F146*C4</f>
        <v>0</v>
      </c>
      <c r="H146" s="239"/>
      <c r="I146" s="239"/>
      <c r="J146" s="239"/>
      <c r="K146" s="239"/>
      <c r="L146" s="239"/>
      <c r="M146" s="239"/>
      <c r="N146" s="239"/>
      <c r="O146" s="239"/>
      <c r="P146" s="239"/>
      <c r="Q146" s="250"/>
      <c r="R146" s="261"/>
      <c r="S146" s="222">
        <f t="shared" si="8"/>
        <v>0</v>
      </c>
      <c r="T146" s="228">
        <f t="shared" si="9"/>
        <v>0</v>
      </c>
      <c r="U146" s="222">
        <f t="shared" si="10"/>
        <v>0</v>
      </c>
      <c r="V146" s="222">
        <f t="shared" si="11"/>
        <v>0</v>
      </c>
      <c r="W146" s="228">
        <f t="shared" si="12"/>
        <v>0</v>
      </c>
      <c r="X146" s="228"/>
      <c r="Y146" s="35"/>
    </row>
    <row r="147" spans="1:25" ht="15" hidden="1" customHeight="1" x14ac:dyDescent="0.25">
      <c r="A147" s="152" t="s">
        <v>239</v>
      </c>
      <c r="B147" s="110" t="s">
        <v>291</v>
      </c>
      <c r="C147" s="25"/>
      <c r="D147" s="405"/>
      <c r="E147" s="406"/>
      <c r="F147" s="34">
        <f>D147*E147</f>
        <v>0</v>
      </c>
      <c r="G147" s="35">
        <f>F147*C4</f>
        <v>0</v>
      </c>
      <c r="H147" s="239"/>
      <c r="I147" s="239"/>
      <c r="J147" s="239"/>
      <c r="K147" s="239"/>
      <c r="L147" s="239"/>
      <c r="M147" s="239"/>
      <c r="N147" s="239"/>
      <c r="O147" s="239"/>
      <c r="P147" s="239"/>
      <c r="Q147" s="250"/>
      <c r="R147" s="261"/>
      <c r="S147" s="222">
        <f t="shared" si="8"/>
        <v>0</v>
      </c>
      <c r="T147" s="228">
        <f t="shared" si="9"/>
        <v>0</v>
      </c>
      <c r="U147" s="222">
        <f t="shared" si="10"/>
        <v>0</v>
      </c>
      <c r="V147" s="222">
        <f t="shared" si="11"/>
        <v>0</v>
      </c>
      <c r="W147" s="228">
        <f t="shared" si="12"/>
        <v>0</v>
      </c>
      <c r="X147" s="228"/>
      <c r="Y147" s="35"/>
    </row>
    <row r="148" spans="1:25" ht="15" customHeight="1" x14ac:dyDescent="0.25">
      <c r="A148" s="217" t="s">
        <v>108</v>
      </c>
      <c r="B148" s="218" t="s">
        <v>470</v>
      </c>
      <c r="C148" s="214"/>
      <c r="D148" s="215"/>
      <c r="E148" s="216"/>
      <c r="F148" s="211">
        <f>SUM(F149:F153)</f>
        <v>0</v>
      </c>
      <c r="G148" s="212">
        <f>SUM(G149:G153)</f>
        <v>0</v>
      </c>
      <c r="H148" s="239"/>
      <c r="I148" s="239"/>
      <c r="J148" s="239"/>
      <c r="K148" s="239"/>
      <c r="L148" s="239"/>
      <c r="M148" s="239"/>
      <c r="N148" s="239"/>
      <c r="O148" s="239"/>
      <c r="P148" s="239"/>
      <c r="Q148" s="250"/>
      <c r="R148" s="261"/>
      <c r="S148" s="236">
        <f t="shared" si="8"/>
        <v>0</v>
      </c>
      <c r="T148" s="237">
        <f t="shared" si="9"/>
        <v>0</v>
      </c>
      <c r="U148" s="236">
        <f t="shared" si="10"/>
        <v>0</v>
      </c>
      <c r="V148" s="236">
        <f t="shared" si="11"/>
        <v>0</v>
      </c>
      <c r="W148" s="237">
        <f t="shared" si="12"/>
        <v>0</v>
      </c>
      <c r="X148" s="237"/>
      <c r="Y148" s="35"/>
    </row>
    <row r="149" spans="1:25" ht="15" hidden="1" customHeight="1" x14ac:dyDescent="0.25">
      <c r="A149" s="157" t="s">
        <v>240</v>
      </c>
      <c r="B149" s="110" t="s">
        <v>471</v>
      </c>
      <c r="C149" s="25"/>
      <c r="D149" s="405"/>
      <c r="E149" s="406"/>
      <c r="F149" s="34">
        <f>D149*E149</f>
        <v>0</v>
      </c>
      <c r="G149" s="35">
        <f>F149*C4</f>
        <v>0</v>
      </c>
      <c r="H149" s="239"/>
      <c r="I149" s="239"/>
      <c r="J149" s="239"/>
      <c r="K149" s="239"/>
      <c r="L149" s="239"/>
      <c r="M149" s="239"/>
      <c r="N149" s="239"/>
      <c r="O149" s="239"/>
      <c r="P149" s="239"/>
      <c r="Q149" s="250"/>
      <c r="R149" s="261"/>
      <c r="S149" s="222">
        <f t="shared" si="8"/>
        <v>0</v>
      </c>
      <c r="T149" s="228">
        <f t="shared" si="9"/>
        <v>0</v>
      </c>
      <c r="U149" s="222">
        <f t="shared" si="10"/>
        <v>0</v>
      </c>
      <c r="V149" s="222">
        <f t="shared" si="11"/>
        <v>0</v>
      </c>
      <c r="W149" s="228">
        <f t="shared" si="12"/>
        <v>0</v>
      </c>
      <c r="X149" s="228"/>
      <c r="Y149" s="35"/>
    </row>
    <row r="150" spans="1:25" ht="15" hidden="1" customHeight="1" x14ac:dyDescent="0.25">
      <c r="A150" s="157" t="s">
        <v>241</v>
      </c>
      <c r="B150" s="110" t="s">
        <v>472</v>
      </c>
      <c r="C150" s="25"/>
      <c r="D150" s="405"/>
      <c r="E150" s="406"/>
      <c r="F150" s="34">
        <f>D150*E150</f>
        <v>0</v>
      </c>
      <c r="G150" s="35">
        <f>F150*C4</f>
        <v>0</v>
      </c>
      <c r="H150" s="239"/>
      <c r="I150" s="239"/>
      <c r="J150" s="239"/>
      <c r="K150" s="239"/>
      <c r="L150" s="239"/>
      <c r="M150" s="239"/>
      <c r="N150" s="239"/>
      <c r="O150" s="239"/>
      <c r="P150" s="239"/>
      <c r="Q150" s="250"/>
      <c r="R150" s="261"/>
      <c r="S150" s="222">
        <f t="shared" si="8"/>
        <v>0</v>
      </c>
      <c r="T150" s="228">
        <f t="shared" si="9"/>
        <v>0</v>
      </c>
      <c r="U150" s="222">
        <f t="shared" si="10"/>
        <v>0</v>
      </c>
      <c r="V150" s="222">
        <f t="shared" si="11"/>
        <v>0</v>
      </c>
      <c r="W150" s="228">
        <f t="shared" si="12"/>
        <v>0</v>
      </c>
      <c r="X150" s="228"/>
      <c r="Y150" s="35"/>
    </row>
    <row r="151" spans="1:25" ht="15" hidden="1" customHeight="1" x14ac:dyDescent="0.25">
      <c r="A151" s="157" t="s">
        <v>242</v>
      </c>
      <c r="B151" s="110" t="s">
        <v>473</v>
      </c>
      <c r="C151" s="25"/>
      <c r="D151" s="405"/>
      <c r="E151" s="406"/>
      <c r="F151" s="34">
        <f>D151*E151</f>
        <v>0</v>
      </c>
      <c r="G151" s="35">
        <f>F151*C4</f>
        <v>0</v>
      </c>
      <c r="H151" s="239"/>
      <c r="I151" s="239"/>
      <c r="J151" s="239"/>
      <c r="K151" s="239"/>
      <c r="L151" s="239"/>
      <c r="M151" s="239"/>
      <c r="N151" s="239"/>
      <c r="O151" s="239"/>
      <c r="P151" s="239"/>
      <c r="Q151" s="250"/>
      <c r="R151" s="261"/>
      <c r="S151" s="222">
        <f t="shared" si="8"/>
        <v>0</v>
      </c>
      <c r="T151" s="228">
        <f t="shared" si="9"/>
        <v>0</v>
      </c>
      <c r="U151" s="222">
        <f t="shared" si="10"/>
        <v>0</v>
      </c>
      <c r="V151" s="222">
        <f t="shared" si="11"/>
        <v>0</v>
      </c>
      <c r="W151" s="228">
        <f t="shared" si="12"/>
        <v>0</v>
      </c>
      <c r="X151" s="228"/>
      <c r="Y151" s="35"/>
    </row>
    <row r="152" spans="1:25" ht="15" hidden="1" customHeight="1" x14ac:dyDescent="0.25">
      <c r="A152" s="157" t="s">
        <v>243</v>
      </c>
      <c r="B152" s="110" t="s">
        <v>474</v>
      </c>
      <c r="C152" s="25"/>
      <c r="D152" s="405"/>
      <c r="E152" s="406"/>
      <c r="F152" s="34">
        <f>D152*E152</f>
        <v>0</v>
      </c>
      <c r="G152" s="35">
        <f>F152*C4</f>
        <v>0</v>
      </c>
      <c r="H152" s="239"/>
      <c r="I152" s="239"/>
      <c r="J152" s="239"/>
      <c r="K152" s="239"/>
      <c r="L152" s="239"/>
      <c r="M152" s="239"/>
      <c r="N152" s="239"/>
      <c r="O152" s="239"/>
      <c r="P152" s="239"/>
      <c r="Q152" s="250"/>
      <c r="R152" s="261"/>
      <c r="S152" s="222">
        <f t="shared" si="8"/>
        <v>0</v>
      </c>
      <c r="T152" s="228">
        <f t="shared" si="9"/>
        <v>0</v>
      </c>
      <c r="U152" s="222">
        <f t="shared" si="10"/>
        <v>0</v>
      </c>
      <c r="V152" s="222">
        <f t="shared" si="11"/>
        <v>0</v>
      </c>
      <c r="W152" s="228">
        <f t="shared" si="12"/>
        <v>0</v>
      </c>
      <c r="X152" s="228"/>
      <c r="Y152" s="35"/>
    </row>
    <row r="153" spans="1:25" ht="15" hidden="1" customHeight="1" x14ac:dyDescent="0.25">
      <c r="A153" s="157" t="s">
        <v>244</v>
      </c>
      <c r="B153" s="110" t="s">
        <v>475</v>
      </c>
      <c r="C153" s="25"/>
      <c r="D153" s="405"/>
      <c r="E153" s="406"/>
      <c r="F153" s="34">
        <f>D153*E153</f>
        <v>0</v>
      </c>
      <c r="G153" s="35">
        <f>F153*C4</f>
        <v>0</v>
      </c>
      <c r="H153" s="239"/>
      <c r="I153" s="239"/>
      <c r="J153" s="239"/>
      <c r="K153" s="239"/>
      <c r="L153" s="239"/>
      <c r="M153" s="239"/>
      <c r="N153" s="239"/>
      <c r="O153" s="239"/>
      <c r="P153" s="239"/>
      <c r="Q153" s="250"/>
      <c r="R153" s="261"/>
      <c r="S153" s="222">
        <f t="shared" si="8"/>
        <v>0</v>
      </c>
      <c r="T153" s="228">
        <f t="shared" si="9"/>
        <v>0</v>
      </c>
      <c r="U153" s="222">
        <f t="shared" si="10"/>
        <v>0</v>
      </c>
      <c r="V153" s="222">
        <f t="shared" si="11"/>
        <v>0</v>
      </c>
      <c r="W153" s="228">
        <f t="shared" si="12"/>
        <v>0</v>
      </c>
      <c r="X153" s="228"/>
      <c r="Y153" s="35"/>
    </row>
    <row r="154" spans="1:25" ht="15" customHeight="1" x14ac:dyDescent="0.25">
      <c r="A154" s="217" t="s">
        <v>109</v>
      </c>
      <c r="B154" s="218" t="s">
        <v>476</v>
      </c>
      <c r="C154" s="214"/>
      <c r="D154" s="215"/>
      <c r="E154" s="216"/>
      <c r="F154" s="211">
        <f>SUM(F155:F159)</f>
        <v>0</v>
      </c>
      <c r="G154" s="212">
        <f>SUM(G155:G159)</f>
        <v>0</v>
      </c>
      <c r="H154" s="239"/>
      <c r="I154" s="239"/>
      <c r="J154" s="239"/>
      <c r="K154" s="239"/>
      <c r="L154" s="239"/>
      <c r="M154" s="239"/>
      <c r="N154" s="239"/>
      <c r="O154" s="239"/>
      <c r="P154" s="239"/>
      <c r="Q154" s="250"/>
      <c r="R154" s="261"/>
      <c r="S154" s="236">
        <f t="shared" si="8"/>
        <v>0</v>
      </c>
      <c r="T154" s="237">
        <f t="shared" si="9"/>
        <v>0</v>
      </c>
      <c r="U154" s="236">
        <f t="shared" si="10"/>
        <v>0</v>
      </c>
      <c r="V154" s="236">
        <f t="shared" si="11"/>
        <v>0</v>
      </c>
      <c r="W154" s="237">
        <f t="shared" si="12"/>
        <v>0</v>
      </c>
      <c r="X154" s="237"/>
      <c r="Y154" s="35"/>
    </row>
    <row r="155" spans="1:25" ht="15" hidden="1" customHeight="1" x14ac:dyDescent="0.25">
      <c r="A155" s="152" t="s">
        <v>245</v>
      </c>
      <c r="B155" s="110" t="s">
        <v>477</v>
      </c>
      <c r="C155" s="25"/>
      <c r="D155" s="405"/>
      <c r="E155" s="406"/>
      <c r="F155" s="34">
        <f>D155*E155</f>
        <v>0</v>
      </c>
      <c r="G155" s="35">
        <f>F155*C4</f>
        <v>0</v>
      </c>
      <c r="H155" s="239"/>
      <c r="I155" s="239"/>
      <c r="J155" s="239"/>
      <c r="K155" s="239"/>
      <c r="L155" s="239"/>
      <c r="M155" s="239"/>
      <c r="N155" s="239"/>
      <c r="O155" s="239"/>
      <c r="P155" s="239"/>
      <c r="Q155" s="250"/>
      <c r="R155" s="261"/>
      <c r="S155" s="222">
        <f t="shared" si="8"/>
        <v>0</v>
      </c>
      <c r="T155" s="228">
        <f t="shared" si="9"/>
        <v>0</v>
      </c>
      <c r="U155" s="222">
        <f t="shared" si="10"/>
        <v>0</v>
      </c>
      <c r="V155" s="222">
        <f t="shared" si="11"/>
        <v>0</v>
      </c>
      <c r="W155" s="228">
        <f t="shared" si="12"/>
        <v>0</v>
      </c>
      <c r="X155" s="228"/>
      <c r="Y155" s="35"/>
    </row>
    <row r="156" spans="1:25" ht="15" hidden="1" customHeight="1" x14ac:dyDescent="0.25">
      <c r="A156" s="152" t="s">
        <v>246</v>
      </c>
      <c r="B156" s="110" t="s">
        <v>478</v>
      </c>
      <c r="C156" s="25"/>
      <c r="D156" s="405"/>
      <c r="E156" s="406"/>
      <c r="F156" s="34">
        <f>D156*E156</f>
        <v>0</v>
      </c>
      <c r="G156" s="35">
        <f>F156*C4</f>
        <v>0</v>
      </c>
      <c r="H156" s="239"/>
      <c r="I156" s="239"/>
      <c r="J156" s="239"/>
      <c r="K156" s="239"/>
      <c r="L156" s="239"/>
      <c r="M156" s="239"/>
      <c r="N156" s="239"/>
      <c r="O156" s="239"/>
      <c r="P156" s="239"/>
      <c r="Q156" s="250"/>
      <c r="R156" s="261"/>
      <c r="S156" s="222">
        <f t="shared" si="8"/>
        <v>0</v>
      </c>
      <c r="T156" s="228">
        <f t="shared" si="9"/>
        <v>0</v>
      </c>
      <c r="U156" s="222">
        <f t="shared" si="10"/>
        <v>0</v>
      </c>
      <c r="V156" s="222">
        <f t="shared" si="11"/>
        <v>0</v>
      </c>
      <c r="W156" s="228">
        <f t="shared" si="12"/>
        <v>0</v>
      </c>
      <c r="X156" s="228"/>
      <c r="Y156" s="35"/>
    </row>
    <row r="157" spans="1:25" ht="15" hidden="1" customHeight="1" x14ac:dyDescent="0.25">
      <c r="A157" s="152" t="s">
        <v>247</v>
      </c>
      <c r="B157" s="110" t="s">
        <v>479</v>
      </c>
      <c r="C157" s="25"/>
      <c r="D157" s="405"/>
      <c r="E157" s="406"/>
      <c r="F157" s="34">
        <f>D157*E157</f>
        <v>0</v>
      </c>
      <c r="G157" s="35">
        <f>F157*C4</f>
        <v>0</v>
      </c>
      <c r="H157" s="239"/>
      <c r="I157" s="239"/>
      <c r="J157" s="239"/>
      <c r="K157" s="239"/>
      <c r="L157" s="239"/>
      <c r="M157" s="239"/>
      <c r="N157" s="239"/>
      <c r="O157" s="239"/>
      <c r="P157" s="239"/>
      <c r="Q157" s="250"/>
      <c r="R157" s="261"/>
      <c r="S157" s="222">
        <f t="shared" si="8"/>
        <v>0</v>
      </c>
      <c r="T157" s="228">
        <f t="shared" si="9"/>
        <v>0</v>
      </c>
      <c r="U157" s="222">
        <f t="shared" si="10"/>
        <v>0</v>
      </c>
      <c r="V157" s="222">
        <f t="shared" si="11"/>
        <v>0</v>
      </c>
      <c r="W157" s="228">
        <f t="shared" si="12"/>
        <v>0</v>
      </c>
      <c r="X157" s="228"/>
      <c r="Y157" s="35"/>
    </row>
    <row r="158" spans="1:25" ht="15" hidden="1" customHeight="1" x14ac:dyDescent="0.25">
      <c r="A158" s="152" t="s">
        <v>248</v>
      </c>
      <c r="B158" s="110" t="s">
        <v>480</v>
      </c>
      <c r="C158" s="25"/>
      <c r="D158" s="405"/>
      <c r="E158" s="406"/>
      <c r="F158" s="34">
        <f>D158*E158</f>
        <v>0</v>
      </c>
      <c r="G158" s="35">
        <f>F158*C4</f>
        <v>0</v>
      </c>
      <c r="H158" s="239"/>
      <c r="I158" s="239"/>
      <c r="J158" s="239"/>
      <c r="K158" s="239"/>
      <c r="L158" s="239"/>
      <c r="M158" s="239"/>
      <c r="N158" s="239"/>
      <c r="O158" s="239"/>
      <c r="P158" s="239"/>
      <c r="Q158" s="250"/>
      <c r="R158" s="261"/>
      <c r="S158" s="222">
        <f t="shared" si="8"/>
        <v>0</v>
      </c>
      <c r="T158" s="228">
        <f t="shared" si="9"/>
        <v>0</v>
      </c>
      <c r="U158" s="222">
        <f t="shared" si="10"/>
        <v>0</v>
      </c>
      <c r="V158" s="222">
        <f t="shared" si="11"/>
        <v>0</v>
      </c>
      <c r="W158" s="228">
        <f t="shared" si="12"/>
        <v>0</v>
      </c>
      <c r="X158" s="228"/>
      <c r="Y158" s="35"/>
    </row>
    <row r="159" spans="1:25" ht="15" hidden="1" customHeight="1" x14ac:dyDescent="0.25">
      <c r="A159" s="152" t="s">
        <v>249</v>
      </c>
      <c r="B159" s="110" t="s">
        <v>481</v>
      </c>
      <c r="C159" s="25"/>
      <c r="D159" s="405"/>
      <c r="E159" s="406"/>
      <c r="F159" s="34">
        <f>D159*E159</f>
        <v>0</v>
      </c>
      <c r="G159" s="35">
        <f>F159*C4</f>
        <v>0</v>
      </c>
      <c r="H159" s="239"/>
      <c r="I159" s="239"/>
      <c r="J159" s="239"/>
      <c r="K159" s="239"/>
      <c r="L159" s="239"/>
      <c r="M159" s="239"/>
      <c r="N159" s="239"/>
      <c r="O159" s="239"/>
      <c r="P159" s="239"/>
      <c r="Q159" s="250"/>
      <c r="R159" s="261"/>
      <c r="S159" s="222">
        <f t="shared" si="8"/>
        <v>0</v>
      </c>
      <c r="T159" s="228">
        <f t="shared" si="9"/>
        <v>0</v>
      </c>
      <c r="U159" s="222">
        <f t="shared" si="10"/>
        <v>0</v>
      </c>
      <c r="V159" s="222">
        <f t="shared" si="11"/>
        <v>0</v>
      </c>
      <c r="W159" s="228">
        <f t="shared" si="12"/>
        <v>0</v>
      </c>
      <c r="X159" s="228"/>
      <c r="Y159" s="35"/>
    </row>
    <row r="160" spans="1:25" ht="15" customHeight="1" x14ac:dyDescent="0.25">
      <c r="A160" s="74"/>
      <c r="B160" s="153"/>
      <c r="C160" s="26"/>
      <c r="D160" s="27"/>
      <c r="E160" s="28"/>
      <c r="F160" s="34"/>
      <c r="G160" s="35"/>
      <c r="H160" s="239"/>
      <c r="I160" s="239"/>
      <c r="J160" s="239"/>
      <c r="K160" s="239"/>
      <c r="L160" s="239"/>
      <c r="M160" s="239"/>
      <c r="N160" s="239"/>
      <c r="O160" s="239"/>
      <c r="P160" s="239"/>
      <c r="Q160" s="250"/>
      <c r="R160" s="256"/>
      <c r="S160" s="222"/>
      <c r="T160" s="228"/>
      <c r="U160" s="222"/>
      <c r="V160" s="222"/>
      <c r="W160" s="228"/>
      <c r="X160" s="228"/>
      <c r="Y160" s="35"/>
    </row>
    <row r="161" spans="1:25" ht="15" customHeight="1" thickBot="1" x14ac:dyDescent="0.3">
      <c r="A161" s="103"/>
      <c r="B161" s="150" t="s">
        <v>130</v>
      </c>
      <c r="C161" s="122"/>
      <c r="D161" s="126"/>
      <c r="E161" s="127"/>
      <c r="F161" s="36">
        <f>SUM(F100+F106+F112+F118+F124+F130+F136+F142+F148+F154)</f>
        <v>729750</v>
      </c>
      <c r="G161" s="36">
        <f>SUM(G100+G106+G112+G118+G124+G130+G136+G142+G148+G154)</f>
        <v>729750</v>
      </c>
      <c r="H161" s="241"/>
      <c r="I161" s="241"/>
      <c r="J161" s="241"/>
      <c r="K161" s="241"/>
      <c r="L161" s="241"/>
      <c r="M161" s="241"/>
      <c r="N161" s="241"/>
      <c r="O161" s="241"/>
      <c r="P161" s="241"/>
      <c r="Q161" s="252"/>
      <c r="R161" s="262"/>
      <c r="S161" s="234">
        <f t="shared" si="8"/>
        <v>-729750</v>
      </c>
      <c r="T161" s="235">
        <f t="shared" si="9"/>
        <v>-1</v>
      </c>
      <c r="U161" s="234">
        <f t="shared" si="10"/>
        <v>0</v>
      </c>
      <c r="V161" s="234">
        <f t="shared" si="11"/>
        <v>-729750</v>
      </c>
      <c r="W161" s="235">
        <f t="shared" si="12"/>
        <v>-1</v>
      </c>
      <c r="X161" s="235"/>
      <c r="Y161" s="35"/>
    </row>
    <row r="162" spans="1:25" ht="15" customHeight="1" thickTop="1" x14ac:dyDescent="0.25">
      <c r="A162" s="74"/>
      <c r="B162" s="35"/>
      <c r="C162" s="83"/>
      <c r="D162" s="75"/>
      <c r="E162" s="76"/>
      <c r="F162" s="77"/>
      <c r="G162" s="34"/>
      <c r="H162" s="242"/>
      <c r="I162" s="242"/>
      <c r="J162" s="242"/>
      <c r="K162" s="242"/>
      <c r="L162" s="242"/>
      <c r="M162" s="242"/>
      <c r="N162" s="242"/>
      <c r="O162" s="242"/>
      <c r="P162" s="242"/>
      <c r="Q162" s="253"/>
      <c r="R162" s="260"/>
      <c r="S162" s="222"/>
      <c r="T162" s="228"/>
      <c r="U162" s="222"/>
      <c r="V162" s="222"/>
      <c r="W162" s="228"/>
      <c r="X162" s="228"/>
      <c r="Y162" s="35"/>
    </row>
    <row r="163" spans="1:25" ht="15" customHeight="1" x14ac:dyDescent="0.25">
      <c r="A163" s="129">
        <v>3</v>
      </c>
      <c r="B163" s="130" t="s">
        <v>133</v>
      </c>
      <c r="C163" s="134"/>
      <c r="D163" s="133"/>
      <c r="E163" s="135"/>
      <c r="F163" s="135"/>
      <c r="G163" s="151"/>
      <c r="H163" s="238"/>
      <c r="I163" s="238"/>
      <c r="J163" s="238"/>
      <c r="K163" s="238"/>
      <c r="L163" s="238"/>
      <c r="M163" s="238"/>
      <c r="N163" s="238"/>
      <c r="O163" s="238"/>
      <c r="P163" s="238"/>
      <c r="Q163" s="251"/>
      <c r="R163" s="259"/>
      <c r="S163" s="227"/>
      <c r="T163" s="229"/>
      <c r="U163" s="227"/>
      <c r="V163" s="227"/>
      <c r="W163" s="229"/>
      <c r="X163" s="229"/>
      <c r="Y163" s="35"/>
    </row>
    <row r="164" spans="1:25" ht="15" customHeight="1" x14ac:dyDescent="0.25">
      <c r="A164" s="161" t="s">
        <v>138</v>
      </c>
      <c r="B164" s="144" t="s">
        <v>116</v>
      </c>
      <c r="C164" s="18"/>
      <c r="D164" s="22"/>
      <c r="E164" s="15"/>
      <c r="F164" s="3">
        <f>D164*E164</f>
        <v>0</v>
      </c>
      <c r="G164" s="37">
        <f>F164*C4</f>
        <v>0</v>
      </c>
      <c r="H164" s="239"/>
      <c r="I164" s="239"/>
      <c r="J164" s="239"/>
      <c r="K164" s="239"/>
      <c r="L164" s="239"/>
      <c r="M164" s="239"/>
      <c r="N164" s="239"/>
      <c r="O164" s="239"/>
      <c r="P164" s="239"/>
      <c r="Q164" s="250"/>
      <c r="R164" s="261"/>
      <c r="S164" s="222">
        <f t="shared" si="8"/>
        <v>0</v>
      </c>
      <c r="T164" s="228">
        <f t="shared" si="9"/>
        <v>0</v>
      </c>
      <c r="U164" s="222">
        <f t="shared" si="10"/>
        <v>0</v>
      </c>
      <c r="V164" s="222">
        <f t="shared" si="11"/>
        <v>0</v>
      </c>
      <c r="W164" s="228">
        <f t="shared" si="12"/>
        <v>0</v>
      </c>
      <c r="X164" s="228"/>
      <c r="Y164" s="35"/>
    </row>
    <row r="165" spans="1:25" ht="15" customHeight="1" x14ac:dyDescent="0.25">
      <c r="A165" s="161" t="s">
        <v>139</v>
      </c>
      <c r="B165" s="144" t="s">
        <v>52</v>
      </c>
      <c r="C165" s="18"/>
      <c r="D165" s="22"/>
      <c r="E165" s="15"/>
      <c r="F165" s="3">
        <f t="shared" ref="F165:F171" si="13">D165*E165</f>
        <v>0</v>
      </c>
      <c r="G165" s="37">
        <f>F165*C4</f>
        <v>0</v>
      </c>
      <c r="H165" s="239"/>
      <c r="I165" s="239"/>
      <c r="J165" s="239"/>
      <c r="K165" s="239"/>
      <c r="L165" s="239"/>
      <c r="M165" s="239"/>
      <c r="N165" s="239"/>
      <c r="O165" s="239"/>
      <c r="P165" s="239"/>
      <c r="Q165" s="250"/>
      <c r="R165" s="261"/>
      <c r="S165" s="222">
        <f t="shared" si="8"/>
        <v>0</v>
      </c>
      <c r="T165" s="228">
        <f t="shared" si="9"/>
        <v>0</v>
      </c>
      <c r="U165" s="222">
        <f t="shared" si="10"/>
        <v>0</v>
      </c>
      <c r="V165" s="222">
        <f t="shared" si="11"/>
        <v>0</v>
      </c>
      <c r="W165" s="228">
        <f t="shared" si="12"/>
        <v>0</v>
      </c>
      <c r="X165" s="228"/>
      <c r="Y165" s="35"/>
    </row>
    <row r="166" spans="1:25" ht="15" customHeight="1" x14ac:dyDescent="0.25">
      <c r="A166" s="161" t="s">
        <v>140</v>
      </c>
      <c r="B166" s="144" t="s">
        <v>112</v>
      </c>
      <c r="C166" s="342"/>
      <c r="D166" s="18"/>
      <c r="E166" s="22"/>
      <c r="F166" s="3">
        <f t="shared" si="13"/>
        <v>0</v>
      </c>
      <c r="G166" s="37">
        <f>F166*C4</f>
        <v>0</v>
      </c>
      <c r="H166" s="239"/>
      <c r="I166" s="239"/>
      <c r="J166" s="239"/>
      <c r="K166" s="239"/>
      <c r="L166" s="239"/>
      <c r="M166" s="239"/>
      <c r="N166" s="239"/>
      <c r="O166" s="239"/>
      <c r="P166" s="239"/>
      <c r="Q166" s="250"/>
      <c r="R166" s="261"/>
      <c r="S166" s="222">
        <f t="shared" si="8"/>
        <v>0</v>
      </c>
      <c r="T166" s="228">
        <f t="shared" si="9"/>
        <v>0</v>
      </c>
      <c r="U166" s="222">
        <f t="shared" si="10"/>
        <v>0</v>
      </c>
      <c r="V166" s="222">
        <f t="shared" si="11"/>
        <v>0</v>
      </c>
      <c r="W166" s="228">
        <f t="shared" si="12"/>
        <v>0</v>
      </c>
      <c r="X166" s="228"/>
      <c r="Y166" s="35"/>
    </row>
    <row r="167" spans="1:25" ht="15" customHeight="1" x14ac:dyDescent="0.25">
      <c r="A167" s="161" t="s">
        <v>141</v>
      </c>
      <c r="B167" s="144" t="s">
        <v>146</v>
      </c>
      <c r="C167" s="342"/>
      <c r="D167" s="18"/>
      <c r="E167" s="22"/>
      <c r="F167" s="3">
        <f t="shared" si="13"/>
        <v>0</v>
      </c>
      <c r="G167" s="37">
        <f>F167*C4</f>
        <v>0</v>
      </c>
      <c r="H167" s="239"/>
      <c r="I167" s="239"/>
      <c r="J167" s="239"/>
      <c r="K167" s="239"/>
      <c r="L167" s="239"/>
      <c r="M167" s="239"/>
      <c r="N167" s="239"/>
      <c r="O167" s="239"/>
      <c r="P167" s="239"/>
      <c r="Q167" s="250"/>
      <c r="R167" s="261"/>
      <c r="S167" s="222">
        <f t="shared" si="8"/>
        <v>0</v>
      </c>
      <c r="T167" s="228">
        <f t="shared" si="9"/>
        <v>0</v>
      </c>
      <c r="U167" s="222">
        <f t="shared" si="10"/>
        <v>0</v>
      </c>
      <c r="V167" s="222">
        <f t="shared" si="11"/>
        <v>0</v>
      </c>
      <c r="W167" s="228">
        <f t="shared" si="12"/>
        <v>0</v>
      </c>
      <c r="X167" s="228"/>
      <c r="Y167" s="35"/>
    </row>
    <row r="168" spans="1:25" ht="15" customHeight="1" x14ac:dyDescent="0.25">
      <c r="A168" s="161" t="s">
        <v>142</v>
      </c>
      <c r="B168" s="144" t="s">
        <v>147</v>
      </c>
      <c r="C168" s="342"/>
      <c r="D168" s="18"/>
      <c r="E168" s="22"/>
      <c r="F168" s="3">
        <f t="shared" si="13"/>
        <v>0</v>
      </c>
      <c r="G168" s="37">
        <f>F168*C4</f>
        <v>0</v>
      </c>
      <c r="H168" s="239"/>
      <c r="I168" s="239"/>
      <c r="J168" s="239"/>
      <c r="K168" s="239"/>
      <c r="L168" s="239"/>
      <c r="M168" s="239"/>
      <c r="N168" s="239"/>
      <c r="O168" s="239"/>
      <c r="P168" s="239"/>
      <c r="Q168" s="250"/>
      <c r="R168" s="261"/>
      <c r="S168" s="222">
        <f t="shared" si="8"/>
        <v>0</v>
      </c>
      <c r="T168" s="228">
        <f t="shared" si="9"/>
        <v>0</v>
      </c>
      <c r="U168" s="222">
        <f t="shared" si="10"/>
        <v>0</v>
      </c>
      <c r="V168" s="222">
        <f t="shared" si="11"/>
        <v>0</v>
      </c>
      <c r="W168" s="228">
        <f t="shared" si="12"/>
        <v>0</v>
      </c>
      <c r="X168" s="228"/>
      <c r="Y168" s="35"/>
    </row>
    <row r="169" spans="1:25" ht="15" customHeight="1" x14ac:dyDescent="0.25">
      <c r="A169" s="161" t="s">
        <v>143</v>
      </c>
      <c r="B169" s="144" t="s">
        <v>251</v>
      </c>
      <c r="C169" s="342" t="s">
        <v>482</v>
      </c>
      <c r="D169" s="18">
        <v>1</v>
      </c>
      <c r="E169" s="22">
        <v>0</v>
      </c>
      <c r="F169" s="3">
        <f>D169*E169</f>
        <v>0</v>
      </c>
      <c r="G169" s="37">
        <f>F169*C4</f>
        <v>0</v>
      </c>
      <c r="H169" s="239"/>
      <c r="I169" s="239"/>
      <c r="J169" s="239"/>
      <c r="K169" s="239"/>
      <c r="L169" s="239"/>
      <c r="M169" s="239"/>
      <c r="N169" s="239"/>
      <c r="O169" s="239"/>
      <c r="P169" s="239"/>
      <c r="Q169" s="250"/>
      <c r="R169" s="261"/>
      <c r="S169" s="222">
        <f t="shared" si="8"/>
        <v>0</v>
      </c>
      <c r="T169" s="228">
        <f t="shared" si="9"/>
        <v>0</v>
      </c>
      <c r="U169" s="222">
        <f t="shared" si="10"/>
        <v>0</v>
      </c>
      <c r="V169" s="222">
        <f t="shared" si="11"/>
        <v>0</v>
      </c>
      <c r="W169" s="228">
        <f t="shared" si="12"/>
        <v>0</v>
      </c>
      <c r="X169" s="228"/>
      <c r="Y169" s="35"/>
    </row>
    <row r="170" spans="1:25" ht="15" customHeight="1" x14ac:dyDescent="0.25">
      <c r="A170" s="161" t="s">
        <v>144</v>
      </c>
      <c r="B170" s="144" t="s">
        <v>145</v>
      </c>
      <c r="C170" s="342" t="s">
        <v>482</v>
      </c>
      <c r="D170" s="18">
        <v>1</v>
      </c>
      <c r="E170" s="22">
        <v>2000</v>
      </c>
      <c r="F170" s="3">
        <f t="shared" si="13"/>
        <v>2000</v>
      </c>
      <c r="G170" s="37">
        <f>F170*C4</f>
        <v>2000</v>
      </c>
      <c r="H170" s="239"/>
      <c r="I170" s="239"/>
      <c r="J170" s="239"/>
      <c r="K170" s="239"/>
      <c r="L170" s="239"/>
      <c r="M170" s="239"/>
      <c r="N170" s="239"/>
      <c r="O170" s="239"/>
      <c r="P170" s="239"/>
      <c r="Q170" s="250"/>
      <c r="R170" s="261"/>
      <c r="S170" s="222">
        <f t="shared" si="8"/>
        <v>-2000</v>
      </c>
      <c r="T170" s="228">
        <f t="shared" si="9"/>
        <v>-1</v>
      </c>
      <c r="U170" s="222">
        <f t="shared" si="10"/>
        <v>0</v>
      </c>
      <c r="V170" s="222">
        <f t="shared" si="11"/>
        <v>-2000</v>
      </c>
      <c r="W170" s="228">
        <f t="shared" si="12"/>
        <v>-1</v>
      </c>
      <c r="X170" s="228"/>
      <c r="Y170" s="35"/>
    </row>
    <row r="171" spans="1:25" ht="15" customHeight="1" x14ac:dyDescent="0.25">
      <c r="A171" s="161" t="s">
        <v>250</v>
      </c>
      <c r="B171" s="144" t="s">
        <v>171</v>
      </c>
      <c r="C171" s="342" t="s">
        <v>482</v>
      </c>
      <c r="D171" s="18">
        <v>1</v>
      </c>
      <c r="E171" s="22">
        <v>7500</v>
      </c>
      <c r="F171" s="3">
        <f t="shared" si="13"/>
        <v>7500</v>
      </c>
      <c r="G171" s="37">
        <f>F171*C4</f>
        <v>7500</v>
      </c>
      <c r="H171" s="239"/>
      <c r="I171" s="239"/>
      <c r="J171" s="239"/>
      <c r="K171" s="239"/>
      <c r="L171" s="239"/>
      <c r="M171" s="239"/>
      <c r="N171" s="239"/>
      <c r="O171" s="239"/>
      <c r="P171" s="239"/>
      <c r="Q171" s="250"/>
      <c r="R171" s="261"/>
      <c r="S171" s="222">
        <f t="shared" si="8"/>
        <v>-7500</v>
      </c>
      <c r="T171" s="228">
        <f t="shared" si="9"/>
        <v>-1</v>
      </c>
      <c r="U171" s="222">
        <f t="shared" si="10"/>
        <v>0</v>
      </c>
      <c r="V171" s="222">
        <f t="shared" si="11"/>
        <v>-7500</v>
      </c>
      <c r="W171" s="228">
        <f t="shared" si="12"/>
        <v>-1</v>
      </c>
      <c r="X171" s="228"/>
      <c r="Y171" s="35"/>
    </row>
    <row r="172" spans="1:25" ht="15" customHeight="1" x14ac:dyDescent="0.25">
      <c r="A172" s="74"/>
      <c r="B172" s="113"/>
      <c r="C172" s="83"/>
      <c r="D172" s="75"/>
      <c r="E172" s="76"/>
      <c r="F172" s="77"/>
      <c r="G172" s="34"/>
      <c r="H172" s="242"/>
      <c r="I172" s="242"/>
      <c r="J172" s="242"/>
      <c r="K172" s="242"/>
      <c r="L172" s="242"/>
      <c r="M172" s="242"/>
      <c r="N172" s="242"/>
      <c r="O172" s="242"/>
      <c r="P172" s="242"/>
      <c r="Q172" s="253"/>
      <c r="R172" s="260"/>
      <c r="S172" s="222"/>
      <c r="T172" s="228"/>
      <c r="U172" s="222"/>
      <c r="V172" s="222"/>
      <c r="W172" s="228"/>
      <c r="X172" s="228"/>
      <c r="Y172" s="35"/>
    </row>
    <row r="173" spans="1:25" ht="15" customHeight="1" thickBot="1" x14ac:dyDescent="0.3">
      <c r="A173" s="103"/>
      <c r="B173" s="150" t="s">
        <v>114</v>
      </c>
      <c r="C173" s="122"/>
      <c r="D173" s="126"/>
      <c r="E173" s="127"/>
      <c r="F173" s="36">
        <f>SUM(F164:F171)</f>
        <v>9500</v>
      </c>
      <c r="G173" s="36">
        <f>SUM(G164:G171)</f>
        <v>9500</v>
      </c>
      <c r="H173" s="241"/>
      <c r="I173" s="241"/>
      <c r="J173" s="241"/>
      <c r="K173" s="241"/>
      <c r="L173" s="241"/>
      <c r="M173" s="241"/>
      <c r="N173" s="241"/>
      <c r="O173" s="241"/>
      <c r="P173" s="241"/>
      <c r="Q173" s="252"/>
      <c r="R173" s="262"/>
      <c r="S173" s="234">
        <f t="shared" si="8"/>
        <v>-9500</v>
      </c>
      <c r="T173" s="235">
        <f t="shared" si="9"/>
        <v>-1</v>
      </c>
      <c r="U173" s="234">
        <f t="shared" si="10"/>
        <v>0</v>
      </c>
      <c r="V173" s="234">
        <f t="shared" si="11"/>
        <v>-9500</v>
      </c>
      <c r="W173" s="235">
        <f t="shared" si="12"/>
        <v>-1</v>
      </c>
      <c r="X173" s="235"/>
      <c r="Y173" s="35"/>
    </row>
    <row r="174" spans="1:25" ht="15" customHeight="1" thickTop="1" x14ac:dyDescent="0.25">
      <c r="A174" s="74"/>
      <c r="B174" s="81"/>
      <c r="C174" s="166"/>
      <c r="D174" s="165"/>
      <c r="E174" s="78"/>
      <c r="F174" s="34"/>
      <c r="G174" s="1"/>
      <c r="H174" s="239"/>
      <c r="I174" s="239"/>
      <c r="J174" s="239"/>
      <c r="K174" s="239"/>
      <c r="L174" s="239"/>
      <c r="M174" s="239"/>
      <c r="N174" s="239"/>
      <c r="O174" s="239"/>
      <c r="P174" s="239"/>
      <c r="Q174" s="250"/>
      <c r="R174" s="256"/>
      <c r="S174" s="222"/>
      <c r="T174" s="228"/>
      <c r="U174" s="222"/>
      <c r="V174" s="222"/>
      <c r="W174" s="228"/>
      <c r="X174" s="228"/>
      <c r="Y174" s="35"/>
    </row>
    <row r="175" spans="1:25" ht="15" customHeight="1" x14ac:dyDescent="0.25">
      <c r="A175" s="129">
        <v>4</v>
      </c>
      <c r="B175" s="130" t="s">
        <v>113</v>
      </c>
      <c r="C175" s="134"/>
      <c r="D175" s="133"/>
      <c r="E175" s="135"/>
      <c r="F175" s="135"/>
      <c r="G175" s="151"/>
      <c r="H175" s="238"/>
      <c r="I175" s="238"/>
      <c r="J175" s="238"/>
      <c r="K175" s="238"/>
      <c r="L175" s="238"/>
      <c r="M175" s="238"/>
      <c r="N175" s="238"/>
      <c r="O175" s="238"/>
      <c r="P175" s="238"/>
      <c r="Q175" s="251"/>
      <c r="R175" s="259"/>
      <c r="S175" s="227"/>
      <c r="T175" s="229"/>
      <c r="U175" s="227"/>
      <c r="V175" s="227"/>
      <c r="W175" s="229"/>
      <c r="X175" s="229"/>
      <c r="Y175" s="35"/>
    </row>
    <row r="176" spans="1:25" ht="15" customHeight="1" x14ac:dyDescent="0.25">
      <c r="A176" s="74" t="s">
        <v>19</v>
      </c>
      <c r="B176" s="81"/>
      <c r="C176" s="166"/>
      <c r="D176" s="165"/>
      <c r="E176" s="78"/>
      <c r="F176" s="34"/>
      <c r="G176" s="1"/>
      <c r="H176" s="239"/>
      <c r="I176" s="239"/>
      <c r="J176" s="239"/>
      <c r="K176" s="239"/>
      <c r="L176" s="239"/>
      <c r="M176" s="239"/>
      <c r="N176" s="239"/>
      <c r="O176" s="239"/>
      <c r="P176" s="239"/>
      <c r="Q176" s="250"/>
      <c r="R176" s="256"/>
      <c r="S176" s="222"/>
      <c r="T176" s="228"/>
      <c r="U176" s="222"/>
      <c r="V176" s="222"/>
      <c r="W176" s="228"/>
      <c r="X176" s="228"/>
      <c r="Y176" s="35"/>
    </row>
    <row r="177" spans="1:25" ht="15" customHeight="1" x14ac:dyDescent="0.25">
      <c r="A177" s="81" t="s">
        <v>148</v>
      </c>
      <c r="B177" s="167" t="s">
        <v>48</v>
      </c>
      <c r="C177" s="18"/>
      <c r="D177" s="22"/>
      <c r="E177" s="15"/>
      <c r="F177" s="34">
        <f>D177*E177</f>
        <v>0</v>
      </c>
      <c r="G177" s="1">
        <f>F177*C4</f>
        <v>0</v>
      </c>
      <c r="H177" s="239"/>
      <c r="I177" s="239"/>
      <c r="J177" s="239"/>
      <c r="K177" s="239"/>
      <c r="L177" s="239"/>
      <c r="M177" s="239"/>
      <c r="N177" s="239"/>
      <c r="O177" s="239"/>
      <c r="P177" s="239"/>
      <c r="Q177" s="250"/>
      <c r="R177" s="261"/>
      <c r="S177" s="222">
        <f t="shared" si="8"/>
        <v>0</v>
      </c>
      <c r="T177" s="228">
        <f t="shared" si="9"/>
        <v>0</v>
      </c>
      <c r="U177" s="222">
        <f t="shared" si="10"/>
        <v>0</v>
      </c>
      <c r="V177" s="222">
        <f t="shared" si="11"/>
        <v>0</v>
      </c>
      <c r="W177" s="228">
        <f t="shared" si="12"/>
        <v>0</v>
      </c>
      <c r="X177" s="228"/>
      <c r="Y177" s="35"/>
    </row>
    <row r="178" spans="1:25" ht="15" customHeight="1" x14ac:dyDescent="0.25">
      <c r="A178" s="81" t="s">
        <v>149</v>
      </c>
      <c r="B178" s="167" t="s">
        <v>49</v>
      </c>
      <c r="C178" s="18"/>
      <c r="D178" s="22"/>
      <c r="E178" s="15"/>
      <c r="F178" s="34">
        <f>D178*E178</f>
        <v>0</v>
      </c>
      <c r="G178" s="1">
        <f>F178*C4</f>
        <v>0</v>
      </c>
      <c r="H178" s="239"/>
      <c r="I178" s="239"/>
      <c r="J178" s="239"/>
      <c r="K178" s="239"/>
      <c r="L178" s="239"/>
      <c r="M178" s="239"/>
      <c r="N178" s="239"/>
      <c r="O178" s="239"/>
      <c r="P178" s="239"/>
      <c r="Q178" s="250"/>
      <c r="R178" s="261"/>
      <c r="S178" s="222">
        <f t="shared" si="8"/>
        <v>0</v>
      </c>
      <c r="T178" s="228">
        <f t="shared" si="9"/>
        <v>0</v>
      </c>
      <c r="U178" s="222">
        <f t="shared" si="10"/>
        <v>0</v>
      </c>
      <c r="V178" s="222">
        <f t="shared" si="11"/>
        <v>0</v>
      </c>
      <c r="W178" s="228">
        <f t="shared" si="12"/>
        <v>0</v>
      </c>
      <c r="X178" s="228"/>
      <c r="Y178" s="35"/>
    </row>
    <row r="179" spans="1:25" ht="15" customHeight="1" x14ac:dyDescent="0.25">
      <c r="A179" s="74" t="s">
        <v>7</v>
      </c>
      <c r="B179" s="141"/>
      <c r="C179" s="19"/>
      <c r="D179" s="30"/>
      <c r="E179" s="11"/>
      <c r="F179" s="34"/>
      <c r="G179" s="1"/>
      <c r="H179" s="239"/>
      <c r="I179" s="239"/>
      <c r="J179" s="239"/>
      <c r="K179" s="239"/>
      <c r="L179" s="239"/>
      <c r="M179" s="239"/>
      <c r="N179" s="239"/>
      <c r="O179" s="239"/>
      <c r="P179" s="239"/>
      <c r="Q179" s="250"/>
      <c r="R179" s="256"/>
      <c r="S179" s="222"/>
      <c r="T179" s="228"/>
      <c r="U179" s="222"/>
      <c r="V179" s="222"/>
      <c r="W179" s="228"/>
      <c r="X179" s="228"/>
      <c r="Y179" s="35"/>
    </row>
    <row r="180" spans="1:25" ht="15" customHeight="1" x14ac:dyDescent="0.25">
      <c r="A180" s="81" t="s">
        <v>150</v>
      </c>
      <c r="B180" s="167" t="s">
        <v>50</v>
      </c>
      <c r="C180" s="18"/>
      <c r="D180" s="22"/>
      <c r="E180" s="15"/>
      <c r="F180" s="34">
        <f>D180*E180</f>
        <v>0</v>
      </c>
      <c r="G180" s="35">
        <f>F180*C4</f>
        <v>0</v>
      </c>
      <c r="H180" s="239"/>
      <c r="I180" s="239"/>
      <c r="J180" s="239"/>
      <c r="K180" s="239"/>
      <c r="L180" s="239"/>
      <c r="M180" s="239"/>
      <c r="N180" s="239"/>
      <c r="O180" s="239"/>
      <c r="P180" s="239"/>
      <c r="Q180" s="250"/>
      <c r="R180" s="261"/>
      <c r="S180" s="222">
        <f t="shared" si="8"/>
        <v>0</v>
      </c>
      <c r="T180" s="228">
        <f t="shared" si="9"/>
        <v>0</v>
      </c>
      <c r="U180" s="222">
        <f t="shared" si="10"/>
        <v>0</v>
      </c>
      <c r="V180" s="222">
        <f t="shared" si="11"/>
        <v>0</v>
      </c>
      <c r="W180" s="228">
        <f t="shared" si="12"/>
        <v>0</v>
      </c>
      <c r="X180" s="228"/>
      <c r="Y180" s="35"/>
    </row>
    <row r="181" spans="1:25" ht="15" customHeight="1" x14ac:dyDescent="0.25">
      <c r="A181" s="81" t="s">
        <v>151</v>
      </c>
      <c r="B181" s="141" t="s">
        <v>51</v>
      </c>
      <c r="C181" s="18"/>
      <c r="D181" s="22"/>
      <c r="E181" s="15"/>
      <c r="F181" s="34">
        <f>D181*E181</f>
        <v>0</v>
      </c>
      <c r="G181" s="35">
        <f>F181*C4</f>
        <v>0</v>
      </c>
      <c r="H181" s="239"/>
      <c r="I181" s="239"/>
      <c r="J181" s="239"/>
      <c r="K181" s="239"/>
      <c r="L181" s="239"/>
      <c r="M181" s="239"/>
      <c r="N181" s="239"/>
      <c r="O181" s="239"/>
      <c r="P181" s="239"/>
      <c r="Q181" s="250"/>
      <c r="R181" s="261"/>
      <c r="S181" s="222">
        <f t="shared" si="8"/>
        <v>0</v>
      </c>
      <c r="T181" s="228">
        <f t="shared" si="9"/>
        <v>0</v>
      </c>
      <c r="U181" s="222">
        <f t="shared" si="10"/>
        <v>0</v>
      </c>
      <c r="V181" s="222">
        <f t="shared" si="11"/>
        <v>0</v>
      </c>
      <c r="W181" s="228">
        <f t="shared" si="12"/>
        <v>0</v>
      </c>
      <c r="X181" s="228"/>
      <c r="Y181" s="35"/>
    </row>
    <row r="182" spans="1:25" ht="15" customHeight="1" x14ac:dyDescent="0.25">
      <c r="A182" s="74" t="s">
        <v>8</v>
      </c>
      <c r="B182" s="141"/>
      <c r="C182" s="38"/>
      <c r="D182" s="20"/>
      <c r="E182" s="21"/>
      <c r="F182" s="34"/>
      <c r="G182" s="1"/>
      <c r="H182" s="239"/>
      <c r="I182" s="239"/>
      <c r="J182" s="239"/>
      <c r="K182" s="239"/>
      <c r="L182" s="239"/>
      <c r="M182" s="239"/>
      <c r="N182" s="239"/>
      <c r="O182" s="239"/>
      <c r="P182" s="239"/>
      <c r="Q182" s="250"/>
      <c r="R182" s="256"/>
      <c r="S182" s="222"/>
      <c r="T182" s="228"/>
      <c r="U182" s="222"/>
      <c r="V182" s="222"/>
      <c r="W182" s="228"/>
      <c r="X182" s="228"/>
      <c r="Y182" s="35"/>
    </row>
    <row r="183" spans="1:25" ht="15" customHeight="1" x14ac:dyDescent="0.25">
      <c r="A183" s="81" t="s">
        <v>156</v>
      </c>
      <c r="B183" s="144" t="s">
        <v>187</v>
      </c>
      <c r="C183" s="18"/>
      <c r="D183" s="22"/>
      <c r="E183" s="15"/>
      <c r="F183" s="34">
        <f>D183*E183</f>
        <v>0</v>
      </c>
      <c r="G183" s="1">
        <f>F183*C4</f>
        <v>0</v>
      </c>
      <c r="H183" s="239"/>
      <c r="I183" s="239"/>
      <c r="J183" s="239"/>
      <c r="K183" s="239"/>
      <c r="L183" s="239"/>
      <c r="M183" s="239"/>
      <c r="N183" s="239"/>
      <c r="O183" s="239"/>
      <c r="P183" s="239"/>
      <c r="Q183" s="250"/>
      <c r="R183" s="261"/>
      <c r="S183" s="222">
        <f t="shared" si="8"/>
        <v>0</v>
      </c>
      <c r="T183" s="228">
        <f t="shared" si="9"/>
        <v>0</v>
      </c>
      <c r="U183" s="222">
        <f t="shared" si="10"/>
        <v>0</v>
      </c>
      <c r="V183" s="222">
        <f t="shared" si="11"/>
        <v>0</v>
      </c>
      <c r="W183" s="228">
        <f t="shared" si="12"/>
        <v>0</v>
      </c>
      <c r="X183" s="228"/>
      <c r="Y183" s="35"/>
    </row>
    <row r="184" spans="1:25" ht="15" customHeight="1" x14ac:dyDescent="0.25">
      <c r="A184" s="81" t="s">
        <v>152</v>
      </c>
      <c r="B184" s="153" t="s">
        <v>54</v>
      </c>
      <c r="C184" s="18"/>
      <c r="D184" s="22"/>
      <c r="E184" s="15"/>
      <c r="F184" s="34">
        <f>D184*E184</f>
        <v>0</v>
      </c>
      <c r="G184" s="1">
        <f>F184*C4</f>
        <v>0</v>
      </c>
      <c r="H184" s="239"/>
      <c r="I184" s="239"/>
      <c r="J184" s="239"/>
      <c r="K184" s="239"/>
      <c r="L184" s="239"/>
      <c r="M184" s="239"/>
      <c r="N184" s="239"/>
      <c r="O184" s="239"/>
      <c r="P184" s="239"/>
      <c r="Q184" s="250"/>
      <c r="R184" s="261"/>
      <c r="S184" s="222">
        <f t="shared" si="8"/>
        <v>0</v>
      </c>
      <c r="T184" s="228">
        <f t="shared" si="9"/>
        <v>0</v>
      </c>
      <c r="U184" s="222">
        <f t="shared" si="10"/>
        <v>0</v>
      </c>
      <c r="V184" s="222">
        <f t="shared" si="11"/>
        <v>0</v>
      </c>
      <c r="W184" s="228">
        <f t="shared" si="12"/>
        <v>0</v>
      </c>
      <c r="X184" s="228"/>
      <c r="Y184" s="35"/>
    </row>
    <row r="185" spans="1:25" ht="15" customHeight="1" x14ac:dyDescent="0.25">
      <c r="A185" s="81" t="s">
        <v>153</v>
      </c>
      <c r="B185" s="153" t="s">
        <v>55</v>
      </c>
      <c r="C185" s="18"/>
      <c r="D185" s="22"/>
      <c r="E185" s="411"/>
      <c r="F185" s="34">
        <f>D185*E185</f>
        <v>0</v>
      </c>
      <c r="G185" s="1">
        <f>F185*C4</f>
        <v>0</v>
      </c>
      <c r="H185" s="239"/>
      <c r="I185" s="239"/>
      <c r="J185" s="239"/>
      <c r="K185" s="239"/>
      <c r="L185" s="239"/>
      <c r="M185" s="239"/>
      <c r="N185" s="239"/>
      <c r="O185" s="239"/>
      <c r="P185" s="239"/>
      <c r="Q185" s="250"/>
      <c r="R185" s="261"/>
      <c r="S185" s="222">
        <f t="shared" si="8"/>
        <v>0</v>
      </c>
      <c r="T185" s="228">
        <f t="shared" si="9"/>
        <v>0</v>
      </c>
      <c r="U185" s="222">
        <f t="shared" si="10"/>
        <v>0</v>
      </c>
      <c r="V185" s="222">
        <f t="shared" si="11"/>
        <v>0</v>
      </c>
      <c r="W185" s="228">
        <f t="shared" si="12"/>
        <v>0</v>
      </c>
      <c r="X185" s="228"/>
      <c r="Y185" s="35"/>
    </row>
    <row r="186" spans="1:25" ht="15" customHeight="1" x14ac:dyDescent="0.25">
      <c r="A186" s="81" t="s">
        <v>154</v>
      </c>
      <c r="B186" s="153" t="s">
        <v>131</v>
      </c>
      <c r="C186" s="18" t="s">
        <v>520</v>
      </c>
      <c r="D186" s="22">
        <v>12</v>
      </c>
      <c r="E186" s="15">
        <v>500</v>
      </c>
      <c r="F186" s="34">
        <f>D186*E186</f>
        <v>6000</v>
      </c>
      <c r="G186" s="1">
        <f>F186*C4</f>
        <v>6000</v>
      </c>
      <c r="H186" s="239"/>
      <c r="I186" s="239"/>
      <c r="J186" s="239"/>
      <c r="K186" s="239"/>
      <c r="L186" s="239"/>
      <c r="M186" s="239"/>
      <c r="N186" s="239"/>
      <c r="O186" s="239"/>
      <c r="P186" s="239"/>
      <c r="Q186" s="250"/>
      <c r="R186" s="261"/>
      <c r="S186" s="222">
        <f t="shared" si="8"/>
        <v>-6000</v>
      </c>
      <c r="T186" s="228">
        <f t="shared" si="9"/>
        <v>-1</v>
      </c>
      <c r="U186" s="222">
        <f t="shared" si="10"/>
        <v>0</v>
      </c>
      <c r="V186" s="222">
        <f t="shared" si="11"/>
        <v>-6000</v>
      </c>
      <c r="W186" s="228">
        <f t="shared" si="12"/>
        <v>-1</v>
      </c>
      <c r="X186" s="228"/>
      <c r="Y186" s="35"/>
    </row>
    <row r="187" spans="1:25" ht="15" customHeight="1" x14ac:dyDescent="0.25">
      <c r="A187" s="81" t="s">
        <v>155</v>
      </c>
      <c r="B187" s="153" t="s">
        <v>132</v>
      </c>
      <c r="C187" s="18"/>
      <c r="D187" s="22"/>
      <c r="E187" s="407"/>
      <c r="F187" s="34">
        <f>D187*E187</f>
        <v>0</v>
      </c>
      <c r="G187" s="1">
        <f>F187*C4</f>
        <v>0</v>
      </c>
      <c r="H187" s="239"/>
      <c r="I187" s="239"/>
      <c r="J187" s="239"/>
      <c r="K187" s="239"/>
      <c r="L187" s="239"/>
      <c r="M187" s="239"/>
      <c r="N187" s="239"/>
      <c r="O187" s="239"/>
      <c r="P187" s="239"/>
      <c r="Q187" s="250"/>
      <c r="R187" s="261"/>
      <c r="S187" s="222">
        <f t="shared" si="8"/>
        <v>0</v>
      </c>
      <c r="T187" s="228">
        <f t="shared" si="9"/>
        <v>0</v>
      </c>
      <c r="U187" s="222">
        <f t="shared" si="10"/>
        <v>0</v>
      </c>
      <c r="V187" s="222">
        <f t="shared" si="11"/>
        <v>0</v>
      </c>
      <c r="W187" s="228">
        <f t="shared" si="12"/>
        <v>0</v>
      </c>
      <c r="X187" s="228"/>
      <c r="Y187" s="35"/>
    </row>
    <row r="188" spans="1:25" ht="15" hidden="1" customHeight="1" x14ac:dyDescent="0.25">
      <c r="A188" s="74"/>
      <c r="B188" s="35"/>
      <c r="C188" s="5"/>
      <c r="D188" s="5"/>
      <c r="E188" s="5"/>
      <c r="F188" s="172"/>
      <c r="G188" s="35"/>
      <c r="H188" s="239"/>
      <c r="I188" s="239"/>
      <c r="J188" s="239"/>
      <c r="K188" s="239"/>
      <c r="L188" s="239"/>
      <c r="M188" s="239"/>
      <c r="N188" s="239"/>
      <c r="O188" s="239"/>
      <c r="P188" s="239"/>
      <c r="Q188" s="250"/>
      <c r="R188" s="256"/>
      <c r="S188" s="222"/>
      <c r="T188" s="228"/>
      <c r="U188" s="222"/>
      <c r="V188" s="222"/>
      <c r="W188" s="228"/>
      <c r="X188" s="228"/>
      <c r="Y188" s="35"/>
    </row>
    <row r="189" spans="1:25" ht="15" hidden="1" customHeight="1" x14ac:dyDescent="0.25">
      <c r="A189" s="203"/>
      <c r="B189" s="204" t="s">
        <v>194</v>
      </c>
      <c r="C189" s="204"/>
      <c r="D189" s="204"/>
      <c r="E189" s="204"/>
      <c r="F189" s="205">
        <f>SUM(F177:F179)</f>
        <v>0</v>
      </c>
      <c r="G189" s="204">
        <f>SUM(G177:G179)</f>
        <v>0</v>
      </c>
      <c r="H189" s="239"/>
      <c r="I189" s="239"/>
      <c r="J189" s="239"/>
      <c r="K189" s="239"/>
      <c r="L189" s="239"/>
      <c r="M189" s="239"/>
      <c r="N189" s="239"/>
      <c r="O189" s="239"/>
      <c r="P189" s="239"/>
      <c r="Q189" s="250"/>
      <c r="R189" s="256"/>
      <c r="S189" s="222">
        <f t="shared" si="8"/>
        <v>0</v>
      </c>
      <c r="T189" s="228">
        <f t="shared" si="9"/>
        <v>0</v>
      </c>
      <c r="U189" s="222">
        <f t="shared" si="10"/>
        <v>0</v>
      </c>
      <c r="V189" s="222">
        <f t="shared" si="11"/>
        <v>0</v>
      </c>
      <c r="W189" s="228">
        <f t="shared" si="12"/>
        <v>0</v>
      </c>
      <c r="X189" s="228"/>
      <c r="Y189" s="35"/>
    </row>
    <row r="190" spans="1:25" ht="15" hidden="1" customHeight="1" x14ac:dyDescent="0.25">
      <c r="A190" s="203"/>
      <c r="B190" s="204" t="s">
        <v>7</v>
      </c>
      <c r="C190" s="204"/>
      <c r="D190" s="204"/>
      <c r="E190" s="204"/>
      <c r="F190" s="205">
        <f>SUM(F180:F182)</f>
        <v>0</v>
      </c>
      <c r="G190" s="204">
        <f>SUM(G180:G182)</f>
        <v>0</v>
      </c>
      <c r="H190" s="239"/>
      <c r="I190" s="239"/>
      <c r="J190" s="239"/>
      <c r="K190" s="239"/>
      <c r="L190" s="239"/>
      <c r="M190" s="239"/>
      <c r="N190" s="239"/>
      <c r="O190" s="239"/>
      <c r="P190" s="239"/>
      <c r="Q190" s="250"/>
      <c r="R190" s="256"/>
      <c r="S190" s="222">
        <f t="shared" si="8"/>
        <v>0</v>
      </c>
      <c r="T190" s="228">
        <f t="shared" si="9"/>
        <v>0</v>
      </c>
      <c r="U190" s="222">
        <f t="shared" si="10"/>
        <v>0</v>
      </c>
      <c r="V190" s="222">
        <f t="shared" si="11"/>
        <v>0</v>
      </c>
      <c r="W190" s="228">
        <f t="shared" si="12"/>
        <v>0</v>
      </c>
      <c r="X190" s="228"/>
      <c r="Y190" s="35"/>
    </row>
    <row r="191" spans="1:25" ht="15" hidden="1" customHeight="1" x14ac:dyDescent="0.25">
      <c r="A191" s="203"/>
      <c r="B191" s="204" t="s">
        <v>8</v>
      </c>
      <c r="C191" s="204"/>
      <c r="D191" s="204"/>
      <c r="E191" s="204"/>
      <c r="F191" s="205">
        <f>SUM(F183:F188)</f>
        <v>6000</v>
      </c>
      <c r="G191" s="204">
        <f>SUM(G183:G188)</f>
        <v>6000</v>
      </c>
      <c r="H191" s="239"/>
      <c r="I191" s="239"/>
      <c r="J191" s="239"/>
      <c r="K191" s="239"/>
      <c r="L191" s="239"/>
      <c r="M191" s="239"/>
      <c r="N191" s="239"/>
      <c r="O191" s="239"/>
      <c r="P191" s="239"/>
      <c r="Q191" s="250"/>
      <c r="R191" s="256"/>
      <c r="S191" s="222">
        <f t="shared" si="8"/>
        <v>-6000</v>
      </c>
      <c r="T191" s="228">
        <f t="shared" si="9"/>
        <v>-1</v>
      </c>
      <c r="U191" s="222">
        <f t="shared" si="10"/>
        <v>0</v>
      </c>
      <c r="V191" s="222">
        <f t="shared" si="11"/>
        <v>-6000</v>
      </c>
      <c r="W191" s="228">
        <f t="shared" si="12"/>
        <v>-1</v>
      </c>
      <c r="X191" s="228"/>
      <c r="Y191" s="35"/>
    </row>
    <row r="192" spans="1:25" ht="15" customHeight="1" thickBot="1" x14ac:dyDescent="0.3">
      <c r="A192" s="103"/>
      <c r="B192" s="150" t="s">
        <v>115</v>
      </c>
      <c r="C192" s="122"/>
      <c r="D192" s="126"/>
      <c r="E192" s="127"/>
      <c r="F192" s="36">
        <f>SUM(F177+F178+F180+F181+F183+F184+F185+F186+F187)</f>
        <v>6000</v>
      </c>
      <c r="G192" s="36">
        <f>SUM(G177+G178+G180+G181+G183+G185+G184+G186+G187)</f>
        <v>6000</v>
      </c>
      <c r="H192" s="241"/>
      <c r="I192" s="241"/>
      <c r="J192" s="241"/>
      <c r="K192" s="241"/>
      <c r="L192" s="241"/>
      <c r="M192" s="241"/>
      <c r="N192" s="241"/>
      <c r="O192" s="241"/>
      <c r="P192" s="241"/>
      <c r="Q192" s="252"/>
      <c r="R192" s="262"/>
      <c r="S192" s="234">
        <f t="shared" si="8"/>
        <v>-6000</v>
      </c>
      <c r="T192" s="235">
        <f t="shared" si="9"/>
        <v>-1</v>
      </c>
      <c r="U192" s="234">
        <f t="shared" si="10"/>
        <v>0</v>
      </c>
      <c r="V192" s="234">
        <f t="shared" si="11"/>
        <v>-6000</v>
      </c>
      <c r="W192" s="235">
        <f t="shared" si="12"/>
        <v>-1</v>
      </c>
      <c r="X192" s="235"/>
      <c r="Y192" s="35"/>
    </row>
    <row r="193" spans="1:25" ht="15" customHeight="1" thickTop="1" x14ac:dyDescent="0.25">
      <c r="A193" s="103"/>
      <c r="B193" s="150"/>
      <c r="C193" s="122"/>
      <c r="D193" s="126"/>
      <c r="E193" s="127"/>
      <c r="F193" s="173"/>
      <c r="G193" s="173"/>
      <c r="H193" s="241"/>
      <c r="I193" s="241"/>
      <c r="J193" s="241"/>
      <c r="K193" s="241"/>
      <c r="L193" s="241"/>
      <c r="M193" s="241"/>
      <c r="N193" s="241"/>
      <c r="O193" s="241"/>
      <c r="P193" s="241"/>
      <c r="Q193" s="252"/>
      <c r="R193" s="258"/>
      <c r="S193" s="222"/>
      <c r="T193" s="228"/>
      <c r="U193" s="222"/>
      <c r="V193" s="222"/>
      <c r="W193" s="228"/>
      <c r="X193" s="228"/>
      <c r="Y193" s="35"/>
    </row>
    <row r="194" spans="1:25" ht="15" customHeight="1" x14ac:dyDescent="0.25">
      <c r="A194" s="129">
        <v>5</v>
      </c>
      <c r="B194" s="130" t="s">
        <v>117</v>
      </c>
      <c r="C194" s="134"/>
      <c r="D194" s="133"/>
      <c r="E194" s="135"/>
      <c r="F194" s="135"/>
      <c r="G194" s="151"/>
      <c r="H194" s="238"/>
      <c r="I194" s="238"/>
      <c r="J194" s="238"/>
      <c r="K194" s="238"/>
      <c r="L194" s="238"/>
      <c r="M194" s="238"/>
      <c r="N194" s="238"/>
      <c r="O194" s="238"/>
      <c r="P194" s="238"/>
      <c r="Q194" s="251"/>
      <c r="R194" s="259"/>
      <c r="S194" s="227"/>
      <c r="T194" s="229"/>
      <c r="U194" s="227"/>
      <c r="V194" s="227"/>
      <c r="W194" s="229"/>
      <c r="X194" s="229"/>
      <c r="Y194" s="35"/>
    </row>
    <row r="195" spans="1:25" ht="15" customHeight="1" x14ac:dyDescent="0.25">
      <c r="A195" s="81" t="s">
        <v>157</v>
      </c>
      <c r="B195" s="167" t="s">
        <v>11</v>
      </c>
      <c r="C195" s="18" t="s">
        <v>483</v>
      </c>
      <c r="D195" s="22">
        <v>2</v>
      </c>
      <c r="E195" s="15">
        <v>750</v>
      </c>
      <c r="F195" s="34">
        <f>D195*E195</f>
        <v>1500</v>
      </c>
      <c r="G195" s="35">
        <f>F195*C4</f>
        <v>1500</v>
      </c>
      <c r="H195" s="239"/>
      <c r="I195" s="239"/>
      <c r="J195" s="239"/>
      <c r="K195" s="239"/>
      <c r="L195" s="239"/>
      <c r="M195" s="239"/>
      <c r="N195" s="239"/>
      <c r="O195" s="239"/>
      <c r="P195" s="239"/>
      <c r="Q195" s="250"/>
      <c r="R195" s="261"/>
      <c r="S195" s="222">
        <f t="shared" si="8"/>
        <v>-1500</v>
      </c>
      <c r="T195" s="228">
        <f t="shared" si="9"/>
        <v>-1</v>
      </c>
      <c r="U195" s="222">
        <f t="shared" si="10"/>
        <v>0</v>
      </c>
      <c r="V195" s="222">
        <f t="shared" si="11"/>
        <v>-1500</v>
      </c>
      <c r="W195" s="228">
        <f t="shared" si="12"/>
        <v>-1</v>
      </c>
      <c r="X195" s="228"/>
      <c r="Y195" s="35"/>
    </row>
    <row r="196" spans="1:25" ht="15" customHeight="1" x14ac:dyDescent="0.25">
      <c r="A196" s="81" t="s">
        <v>158</v>
      </c>
      <c r="B196" s="167" t="s">
        <v>12</v>
      </c>
      <c r="C196" s="18" t="s">
        <v>483</v>
      </c>
      <c r="D196" s="22">
        <v>2</v>
      </c>
      <c r="E196" s="15">
        <v>250</v>
      </c>
      <c r="F196" s="34">
        <f>D196*E196</f>
        <v>500</v>
      </c>
      <c r="G196" s="35">
        <f>F196*C4</f>
        <v>500</v>
      </c>
      <c r="H196" s="239"/>
      <c r="I196" s="239"/>
      <c r="J196" s="239"/>
      <c r="K196" s="239"/>
      <c r="L196" s="239"/>
      <c r="M196" s="239"/>
      <c r="N196" s="239"/>
      <c r="O196" s="239"/>
      <c r="P196" s="239"/>
      <c r="Q196" s="250"/>
      <c r="R196" s="261"/>
      <c r="S196" s="222">
        <f t="shared" si="8"/>
        <v>-500</v>
      </c>
      <c r="T196" s="228">
        <f t="shared" si="9"/>
        <v>-1</v>
      </c>
      <c r="U196" s="222">
        <f t="shared" si="10"/>
        <v>0</v>
      </c>
      <c r="V196" s="222">
        <f t="shared" si="11"/>
        <v>-500</v>
      </c>
      <c r="W196" s="228">
        <f t="shared" si="12"/>
        <v>-1</v>
      </c>
      <c r="X196" s="228"/>
      <c r="Y196" s="35"/>
    </row>
    <row r="197" spans="1:25" ht="15" customHeight="1" x14ac:dyDescent="0.25">
      <c r="A197" s="81" t="s">
        <v>159</v>
      </c>
      <c r="B197" s="167" t="s">
        <v>13</v>
      </c>
      <c r="C197" s="18" t="s">
        <v>482</v>
      </c>
      <c r="D197" s="22">
        <v>1</v>
      </c>
      <c r="E197" s="15">
        <v>1500</v>
      </c>
      <c r="F197" s="34">
        <f>D197*E197</f>
        <v>1500</v>
      </c>
      <c r="G197" s="35">
        <f>F197*C4</f>
        <v>1500</v>
      </c>
      <c r="H197" s="239"/>
      <c r="I197" s="239"/>
      <c r="J197" s="239"/>
      <c r="K197" s="239"/>
      <c r="L197" s="239"/>
      <c r="M197" s="239"/>
      <c r="N197" s="239"/>
      <c r="O197" s="239"/>
      <c r="P197" s="239"/>
      <c r="Q197" s="250"/>
      <c r="R197" s="261"/>
      <c r="S197" s="222">
        <f t="shared" si="8"/>
        <v>-1500</v>
      </c>
      <c r="T197" s="228">
        <f t="shared" si="9"/>
        <v>-1</v>
      </c>
      <c r="U197" s="222">
        <f t="shared" si="10"/>
        <v>0</v>
      </c>
      <c r="V197" s="222">
        <f t="shared" si="11"/>
        <v>-1500</v>
      </c>
      <c r="W197" s="228">
        <f t="shared" si="12"/>
        <v>-1</v>
      </c>
      <c r="X197" s="228"/>
      <c r="Y197" s="35"/>
    </row>
    <row r="198" spans="1:25" ht="15" customHeight="1" x14ac:dyDescent="0.25">
      <c r="A198" s="81" t="s">
        <v>160</v>
      </c>
      <c r="B198" s="167" t="s">
        <v>14</v>
      </c>
      <c r="C198" s="18"/>
      <c r="D198" s="22"/>
      <c r="E198" s="15"/>
      <c r="F198" s="34">
        <f>D198*E198</f>
        <v>0</v>
      </c>
      <c r="G198" s="35">
        <f>F198*C4</f>
        <v>0</v>
      </c>
      <c r="H198" s="239"/>
      <c r="I198" s="239"/>
      <c r="J198" s="239"/>
      <c r="K198" s="239"/>
      <c r="L198" s="239"/>
      <c r="M198" s="239"/>
      <c r="N198" s="239"/>
      <c r="O198" s="239"/>
      <c r="P198" s="239"/>
      <c r="Q198" s="250"/>
      <c r="R198" s="261"/>
      <c r="S198" s="222">
        <f t="shared" si="8"/>
        <v>0</v>
      </c>
      <c r="T198" s="228">
        <f t="shared" si="9"/>
        <v>0</v>
      </c>
      <c r="U198" s="222">
        <f t="shared" si="10"/>
        <v>0</v>
      </c>
      <c r="V198" s="222">
        <f t="shared" si="11"/>
        <v>0</v>
      </c>
      <c r="W198" s="228">
        <f t="shared" si="12"/>
        <v>0</v>
      </c>
      <c r="X198" s="228"/>
      <c r="Y198" s="35"/>
    </row>
    <row r="199" spans="1:25" ht="15" customHeight="1" x14ac:dyDescent="0.25">
      <c r="A199" s="81" t="s">
        <v>161</v>
      </c>
      <c r="B199" s="167" t="s">
        <v>60</v>
      </c>
      <c r="C199" s="18" t="s">
        <v>482</v>
      </c>
      <c r="D199" s="22">
        <v>0</v>
      </c>
      <c r="E199" s="15">
        <v>1000</v>
      </c>
      <c r="F199" s="34">
        <f>D199*E199</f>
        <v>0</v>
      </c>
      <c r="G199" s="35">
        <f>F199*C4</f>
        <v>0</v>
      </c>
      <c r="H199" s="239"/>
      <c r="I199" s="239"/>
      <c r="J199" s="239"/>
      <c r="K199" s="239"/>
      <c r="L199" s="239"/>
      <c r="M199" s="239"/>
      <c r="N199" s="239"/>
      <c r="O199" s="239"/>
      <c r="P199" s="239"/>
      <c r="Q199" s="250"/>
      <c r="R199" s="261"/>
      <c r="S199" s="222">
        <f t="shared" si="8"/>
        <v>0</v>
      </c>
      <c r="T199" s="228">
        <f t="shared" si="9"/>
        <v>0</v>
      </c>
      <c r="U199" s="222">
        <f t="shared" si="10"/>
        <v>0</v>
      </c>
      <c r="V199" s="222">
        <f t="shared" si="11"/>
        <v>0</v>
      </c>
      <c r="W199" s="228">
        <f t="shared" si="12"/>
        <v>0</v>
      </c>
      <c r="X199" s="228"/>
      <c r="Y199" s="35"/>
    </row>
    <row r="200" spans="1:25" ht="15" customHeight="1" x14ac:dyDescent="0.25">
      <c r="A200" s="74"/>
      <c r="B200" s="167"/>
      <c r="C200" s="6"/>
      <c r="D200" s="7"/>
      <c r="E200" s="8"/>
      <c r="F200" s="34"/>
      <c r="G200" s="35"/>
      <c r="H200" s="239"/>
      <c r="I200" s="239"/>
      <c r="J200" s="239"/>
      <c r="K200" s="239"/>
      <c r="L200" s="239"/>
      <c r="M200" s="239"/>
      <c r="N200" s="239"/>
      <c r="O200" s="239"/>
      <c r="P200" s="239"/>
      <c r="Q200" s="250"/>
      <c r="R200" s="256"/>
      <c r="S200" s="222"/>
      <c r="T200" s="228"/>
      <c r="U200" s="222"/>
      <c r="V200" s="222"/>
      <c r="W200" s="228"/>
      <c r="X200" s="228"/>
      <c r="Y200" s="35"/>
    </row>
    <row r="201" spans="1:25" ht="15" customHeight="1" thickBot="1" x14ac:dyDescent="0.3">
      <c r="A201" s="103"/>
      <c r="B201" s="150" t="s">
        <v>118</v>
      </c>
      <c r="C201" s="122"/>
      <c r="D201" s="126"/>
      <c r="E201" s="127"/>
      <c r="F201" s="36">
        <f>SUM(F195:F199)</f>
        <v>3500</v>
      </c>
      <c r="G201" s="36">
        <f>SUM(G195:G199)</f>
        <v>3500</v>
      </c>
      <c r="H201" s="241"/>
      <c r="I201" s="241"/>
      <c r="J201" s="241"/>
      <c r="K201" s="241"/>
      <c r="L201" s="241"/>
      <c r="M201" s="241"/>
      <c r="N201" s="241"/>
      <c r="O201" s="241"/>
      <c r="P201" s="241"/>
      <c r="Q201" s="252"/>
      <c r="R201" s="262"/>
      <c r="S201" s="234">
        <f t="shared" si="8"/>
        <v>-3500</v>
      </c>
      <c r="T201" s="235">
        <f t="shared" si="9"/>
        <v>-1</v>
      </c>
      <c r="U201" s="234">
        <f t="shared" si="10"/>
        <v>0</v>
      </c>
      <c r="V201" s="234">
        <f t="shared" si="11"/>
        <v>-3500</v>
      </c>
      <c r="W201" s="235">
        <f t="shared" si="12"/>
        <v>-1</v>
      </c>
      <c r="X201" s="235"/>
      <c r="Y201" s="35"/>
    </row>
    <row r="202" spans="1:25" ht="15" customHeight="1" thickTop="1" x14ac:dyDescent="0.25">
      <c r="A202" s="74"/>
      <c r="B202" s="167"/>
      <c r="C202" s="75"/>
      <c r="D202" s="76"/>
      <c r="E202" s="77"/>
      <c r="F202" s="34"/>
      <c r="G202" s="35"/>
      <c r="H202" s="239"/>
      <c r="I202" s="239"/>
      <c r="J202" s="239"/>
      <c r="K202" s="239"/>
      <c r="L202" s="239"/>
      <c r="M202" s="239"/>
      <c r="N202" s="239"/>
      <c r="O202" s="239"/>
      <c r="P202" s="239"/>
      <c r="Q202" s="250"/>
      <c r="R202" s="256"/>
      <c r="S202" s="222"/>
      <c r="T202" s="228"/>
      <c r="U202" s="222"/>
      <c r="V202" s="222"/>
      <c r="W202" s="228"/>
      <c r="X202" s="228"/>
      <c r="Y202" s="35"/>
    </row>
    <row r="203" spans="1:25" ht="15" customHeight="1" x14ac:dyDescent="0.25">
      <c r="A203" s="129">
        <v>6</v>
      </c>
      <c r="B203" s="130" t="s">
        <v>119</v>
      </c>
      <c r="C203" s="134"/>
      <c r="D203" s="133"/>
      <c r="E203" s="135"/>
      <c r="F203" s="135"/>
      <c r="G203" s="151"/>
      <c r="H203" s="238"/>
      <c r="I203" s="238"/>
      <c r="J203" s="238"/>
      <c r="K203" s="238"/>
      <c r="L203" s="238"/>
      <c r="M203" s="238"/>
      <c r="N203" s="238"/>
      <c r="O203" s="238"/>
      <c r="P203" s="238"/>
      <c r="Q203" s="251"/>
      <c r="R203" s="259"/>
      <c r="S203" s="227"/>
      <c r="T203" s="229"/>
      <c r="U203" s="227"/>
      <c r="V203" s="227"/>
      <c r="W203" s="229"/>
      <c r="X203" s="229"/>
      <c r="Y203" s="35"/>
    </row>
    <row r="204" spans="1:25" ht="15" customHeight="1" x14ac:dyDescent="0.25">
      <c r="A204" s="103" t="s">
        <v>120</v>
      </c>
      <c r="B204" s="103" t="s">
        <v>77</v>
      </c>
      <c r="C204" s="2"/>
      <c r="D204" s="146"/>
      <c r="E204" s="147"/>
      <c r="F204" s="3"/>
      <c r="G204" s="39"/>
      <c r="H204" s="239"/>
      <c r="I204" s="239"/>
      <c r="J204" s="239"/>
      <c r="K204" s="239"/>
      <c r="L204" s="239"/>
      <c r="M204" s="239"/>
      <c r="N204" s="239"/>
      <c r="O204" s="239"/>
      <c r="P204" s="239"/>
      <c r="Q204" s="250"/>
      <c r="R204" s="255"/>
      <c r="S204" s="222"/>
      <c r="T204" s="228"/>
      <c r="U204" s="222"/>
      <c r="V204" s="222"/>
      <c r="W204" s="228"/>
      <c r="X204" s="228"/>
      <c r="Y204" s="35"/>
    </row>
    <row r="205" spans="1:25" ht="15" customHeight="1" x14ac:dyDescent="0.25">
      <c r="A205" s="113" t="s">
        <v>121</v>
      </c>
      <c r="B205" s="174" t="s">
        <v>78</v>
      </c>
      <c r="C205" s="18"/>
      <c r="D205" s="22"/>
      <c r="E205" s="15"/>
      <c r="F205" s="3">
        <f>D205*E205</f>
        <v>0</v>
      </c>
      <c r="G205" s="39">
        <f>F205*C4</f>
        <v>0</v>
      </c>
      <c r="H205" s="239"/>
      <c r="I205" s="239"/>
      <c r="J205" s="239"/>
      <c r="K205" s="239"/>
      <c r="L205" s="239"/>
      <c r="M205" s="239"/>
      <c r="N205" s="239"/>
      <c r="O205" s="239"/>
      <c r="P205" s="239"/>
      <c r="Q205" s="250"/>
      <c r="R205" s="261"/>
      <c r="S205" s="222">
        <f t="shared" si="8"/>
        <v>0</v>
      </c>
      <c r="T205" s="228">
        <f t="shared" si="9"/>
        <v>0</v>
      </c>
      <c r="U205" s="222">
        <f t="shared" si="10"/>
        <v>0</v>
      </c>
      <c r="V205" s="222">
        <f t="shared" si="11"/>
        <v>0</v>
      </c>
      <c r="W205" s="228">
        <f t="shared" si="12"/>
        <v>0</v>
      </c>
      <c r="X205" s="228"/>
      <c r="Y205" s="35"/>
    </row>
    <row r="206" spans="1:25" ht="15" customHeight="1" x14ac:dyDescent="0.25">
      <c r="A206" s="113" t="s">
        <v>122</v>
      </c>
      <c r="B206" s="174" t="s">
        <v>79</v>
      </c>
      <c r="C206" s="18"/>
      <c r="D206" s="22"/>
      <c r="E206" s="15"/>
      <c r="F206" s="3">
        <f>D206*E206</f>
        <v>0</v>
      </c>
      <c r="G206" s="39">
        <f>F206*C4</f>
        <v>0</v>
      </c>
      <c r="H206" s="239"/>
      <c r="I206" s="239"/>
      <c r="J206" s="239"/>
      <c r="K206" s="239"/>
      <c r="L206" s="239"/>
      <c r="M206" s="239"/>
      <c r="N206" s="239"/>
      <c r="O206" s="239"/>
      <c r="P206" s="239"/>
      <c r="Q206" s="250"/>
      <c r="R206" s="261"/>
      <c r="S206" s="222">
        <f t="shared" si="8"/>
        <v>0</v>
      </c>
      <c r="T206" s="228">
        <f t="shared" si="9"/>
        <v>0</v>
      </c>
      <c r="U206" s="222">
        <f t="shared" si="10"/>
        <v>0</v>
      </c>
      <c r="V206" s="222">
        <f t="shared" si="11"/>
        <v>0</v>
      </c>
      <c r="W206" s="228">
        <f t="shared" si="12"/>
        <v>0</v>
      </c>
      <c r="X206" s="228"/>
      <c r="Y206" s="35"/>
    </row>
    <row r="207" spans="1:25" ht="15" customHeight="1" x14ac:dyDescent="0.25">
      <c r="A207" s="113" t="s">
        <v>123</v>
      </c>
      <c r="B207" s="174" t="s">
        <v>80</v>
      </c>
      <c r="C207" s="18"/>
      <c r="D207" s="22"/>
      <c r="E207" s="15"/>
      <c r="F207" s="3">
        <f>D207*E207</f>
        <v>0</v>
      </c>
      <c r="G207" s="39">
        <f>F207*C4</f>
        <v>0</v>
      </c>
      <c r="H207" s="239"/>
      <c r="I207" s="239"/>
      <c r="J207" s="239"/>
      <c r="K207" s="239"/>
      <c r="L207" s="239"/>
      <c r="M207" s="239"/>
      <c r="N207" s="239"/>
      <c r="O207" s="239"/>
      <c r="P207" s="239"/>
      <c r="Q207" s="250"/>
      <c r="R207" s="261"/>
      <c r="S207" s="222">
        <f t="shared" si="8"/>
        <v>0</v>
      </c>
      <c r="T207" s="228">
        <f t="shared" si="9"/>
        <v>0</v>
      </c>
      <c r="U207" s="222">
        <f t="shared" si="10"/>
        <v>0</v>
      </c>
      <c r="V207" s="222">
        <f t="shared" si="11"/>
        <v>0</v>
      </c>
      <c r="W207" s="228">
        <f t="shared" si="12"/>
        <v>0</v>
      </c>
      <c r="X207" s="228"/>
      <c r="Y207" s="35"/>
    </row>
    <row r="208" spans="1:25" ht="15" customHeight="1" x14ac:dyDescent="0.25">
      <c r="A208" s="113" t="s">
        <v>124</v>
      </c>
      <c r="B208" s="174" t="s">
        <v>81</v>
      </c>
      <c r="C208" s="18"/>
      <c r="D208" s="22"/>
      <c r="E208" s="15"/>
      <c r="F208" s="3">
        <f>D208*E208</f>
        <v>0</v>
      </c>
      <c r="G208" s="39">
        <f>F208*C4</f>
        <v>0</v>
      </c>
      <c r="H208" s="239"/>
      <c r="I208" s="239"/>
      <c r="J208" s="239"/>
      <c r="K208" s="239"/>
      <c r="L208" s="239"/>
      <c r="M208" s="239"/>
      <c r="N208" s="239"/>
      <c r="O208" s="239"/>
      <c r="P208" s="239"/>
      <c r="Q208" s="250"/>
      <c r="R208" s="261"/>
      <c r="S208" s="222">
        <f>R208-F208</f>
        <v>0</v>
      </c>
      <c r="T208" s="228">
        <f>IF(F208=0,0,S208/F208)</f>
        <v>0</v>
      </c>
      <c r="U208" s="222">
        <f>R208*$C$4</f>
        <v>0</v>
      </c>
      <c r="V208" s="222">
        <f>U208-G208</f>
        <v>0</v>
      </c>
      <c r="W208" s="228">
        <f>IF(G208=0,0,V208/G208)</f>
        <v>0</v>
      </c>
      <c r="X208" s="228"/>
      <c r="Y208" s="35"/>
    </row>
    <row r="209" spans="1:25" ht="15" customHeight="1" x14ac:dyDescent="0.25">
      <c r="A209" s="103"/>
      <c r="B209" s="174"/>
      <c r="C209" s="12"/>
      <c r="D209" s="23"/>
      <c r="E209" s="24"/>
      <c r="F209" s="3"/>
      <c r="G209" s="39"/>
      <c r="H209" s="239"/>
      <c r="I209" s="239"/>
      <c r="J209" s="239"/>
      <c r="K209" s="239"/>
      <c r="L209" s="239"/>
      <c r="M209" s="239"/>
      <c r="N209" s="239"/>
      <c r="O209" s="239"/>
      <c r="P209" s="239"/>
      <c r="Q209" s="250"/>
      <c r="R209" s="255"/>
      <c r="S209" s="222"/>
      <c r="T209" s="228"/>
      <c r="U209" s="222"/>
      <c r="V209" s="222"/>
      <c r="W209" s="228"/>
      <c r="X209" s="228"/>
      <c r="Y209" s="35"/>
    </row>
    <row r="210" spans="1:25" ht="15" customHeight="1" thickBot="1" x14ac:dyDescent="0.3">
      <c r="A210" s="103"/>
      <c r="B210" s="150" t="s">
        <v>82</v>
      </c>
      <c r="C210" s="2"/>
      <c r="D210" s="146"/>
      <c r="E210" s="147"/>
      <c r="F210" s="36">
        <f>SUM(F205:F208)</f>
        <v>0</v>
      </c>
      <c r="G210" s="36">
        <f>SUM(G205:G208)</f>
        <v>0</v>
      </c>
      <c r="H210" s="241"/>
      <c r="I210" s="241"/>
      <c r="J210" s="241"/>
      <c r="K210" s="241"/>
      <c r="L210" s="241"/>
      <c r="M210" s="241"/>
      <c r="N210" s="241"/>
      <c r="O210" s="241"/>
      <c r="P210" s="241"/>
      <c r="Q210" s="252"/>
      <c r="R210" s="262"/>
      <c r="S210" s="234">
        <f>R210-F210</f>
        <v>0</v>
      </c>
      <c r="T210" s="235">
        <f>IF(F210=0,0,S210/F210)</f>
        <v>0</v>
      </c>
      <c r="U210" s="234">
        <f>R210*$C$4</f>
        <v>0</v>
      </c>
      <c r="V210" s="234">
        <f>U210-G210</f>
        <v>0</v>
      </c>
      <c r="W210" s="235">
        <f>IF(G210=0,0,V210/G210)</f>
        <v>0</v>
      </c>
      <c r="X210" s="235"/>
      <c r="Y210" s="35"/>
    </row>
    <row r="211" spans="1:25" ht="15" customHeight="1" thickTop="1" x14ac:dyDescent="0.25">
      <c r="A211" s="74"/>
      <c r="B211" s="178"/>
      <c r="C211" s="75"/>
      <c r="D211" s="76"/>
      <c r="E211" s="77"/>
      <c r="F211" s="179"/>
      <c r="G211" s="35"/>
      <c r="H211" s="239"/>
      <c r="I211" s="239"/>
      <c r="J211" s="239"/>
      <c r="K211" s="239"/>
      <c r="L211" s="239"/>
      <c r="M211" s="239"/>
      <c r="N211" s="239"/>
      <c r="O211" s="239"/>
      <c r="P211" s="239"/>
      <c r="Q211" s="250"/>
      <c r="R211" s="256"/>
      <c r="S211" s="222"/>
      <c r="T211" s="228"/>
      <c r="U211" s="222"/>
      <c r="V211" s="222"/>
      <c r="W211" s="228"/>
      <c r="X211" s="228"/>
      <c r="Y211" s="35"/>
    </row>
    <row r="212" spans="1:25" ht="15" customHeight="1" x14ac:dyDescent="0.25">
      <c r="A212" s="103" t="s">
        <v>125</v>
      </c>
      <c r="B212" s="103" t="s">
        <v>198</v>
      </c>
      <c r="C212" s="2"/>
      <c r="D212" s="146"/>
      <c r="E212" s="147"/>
      <c r="F212" s="3"/>
      <c r="G212" s="39"/>
      <c r="H212" s="239"/>
      <c r="I212" s="239"/>
      <c r="J212" s="239"/>
      <c r="K212" s="239"/>
      <c r="L212" s="239"/>
      <c r="M212" s="239"/>
      <c r="N212" s="239"/>
      <c r="O212" s="239"/>
      <c r="P212" s="239"/>
      <c r="Q212" s="250"/>
      <c r="R212" s="255"/>
      <c r="S212" s="222"/>
      <c r="T212" s="228"/>
      <c r="U212" s="222"/>
      <c r="V212" s="222"/>
      <c r="W212" s="228"/>
      <c r="X212" s="228"/>
      <c r="Y212" s="35"/>
    </row>
    <row r="213" spans="1:25" ht="24" customHeight="1" x14ac:dyDescent="0.25">
      <c r="A213" s="113" t="s">
        <v>126</v>
      </c>
      <c r="B213" s="174" t="s">
        <v>521</v>
      </c>
      <c r="C213" s="18" t="s">
        <v>482</v>
      </c>
      <c r="D213" s="22">
        <v>1</v>
      </c>
      <c r="E213" s="15">
        <f>2800+(350*2)+(110*2*3)+(70*2*2)+200</f>
        <v>4640</v>
      </c>
      <c r="F213" s="3">
        <f>D213*E213</f>
        <v>4640</v>
      </c>
      <c r="G213" s="39">
        <f>F213*C4</f>
        <v>4640</v>
      </c>
      <c r="H213" s="239"/>
      <c r="I213" s="239"/>
      <c r="J213" s="239"/>
      <c r="K213" s="239"/>
      <c r="L213" s="239"/>
      <c r="M213" s="239"/>
      <c r="N213" s="239"/>
      <c r="O213" s="239"/>
      <c r="P213" s="239"/>
      <c r="Q213" s="250"/>
      <c r="R213" s="261"/>
      <c r="S213" s="222">
        <f>R213-F213</f>
        <v>-4640</v>
      </c>
      <c r="T213" s="228">
        <f>IF(F213=0,0,S213/F213)</f>
        <v>-1</v>
      </c>
      <c r="U213" s="222">
        <f>R213*$C$4</f>
        <v>0</v>
      </c>
      <c r="V213" s="222">
        <f>U213-G213</f>
        <v>-4640</v>
      </c>
      <c r="W213" s="228">
        <f>IF(G213=0,0,V213/G213)</f>
        <v>-1</v>
      </c>
      <c r="X213" s="837" t="s">
        <v>942</v>
      </c>
      <c r="Y213" s="35"/>
    </row>
    <row r="214" spans="1:25" ht="15" customHeight="1" x14ac:dyDescent="0.25">
      <c r="A214" s="113" t="s">
        <v>127</v>
      </c>
      <c r="B214" s="174" t="s">
        <v>136</v>
      </c>
      <c r="C214" s="836" t="s">
        <v>482</v>
      </c>
      <c r="D214" s="22">
        <v>1</v>
      </c>
      <c r="E214" s="15">
        <v>1000</v>
      </c>
      <c r="F214" s="3">
        <f>D214*E214</f>
        <v>1000</v>
      </c>
      <c r="G214" s="39">
        <f>F214*C4</f>
        <v>1000</v>
      </c>
      <c r="H214" s="239"/>
      <c r="I214" s="239"/>
      <c r="J214" s="239"/>
      <c r="K214" s="239"/>
      <c r="L214" s="239"/>
      <c r="M214" s="239"/>
      <c r="N214" s="239"/>
      <c r="O214" s="239"/>
      <c r="P214" s="239"/>
      <c r="Q214" s="250"/>
      <c r="R214" s="261"/>
      <c r="S214" s="222">
        <f>R214-F214</f>
        <v>-1000</v>
      </c>
      <c r="T214" s="228">
        <f>IF(F214=0,0,S214/F214)</f>
        <v>-1</v>
      </c>
      <c r="U214" s="222">
        <f>R214*$C$4</f>
        <v>0</v>
      </c>
      <c r="V214" s="222">
        <f>U214-G214</f>
        <v>-1000</v>
      </c>
      <c r="W214" s="228">
        <f>IF(G214=0,0,V214/G214)</f>
        <v>-1</v>
      </c>
      <c r="X214" s="837" t="s">
        <v>941</v>
      </c>
      <c r="Y214" s="35"/>
    </row>
    <row r="215" spans="1:25" ht="15" customHeight="1" x14ac:dyDescent="0.25">
      <c r="A215" s="113" t="s">
        <v>128</v>
      </c>
      <c r="B215" s="174" t="s">
        <v>134</v>
      </c>
      <c r="C215" s="18"/>
      <c r="D215" s="22"/>
      <c r="E215" s="15"/>
      <c r="F215" s="3">
        <f>D215*E215</f>
        <v>0</v>
      </c>
      <c r="G215" s="39">
        <f>F215*C4</f>
        <v>0</v>
      </c>
      <c r="H215" s="239"/>
      <c r="I215" s="239"/>
      <c r="J215" s="239"/>
      <c r="K215" s="239"/>
      <c r="L215" s="239"/>
      <c r="M215" s="239"/>
      <c r="N215" s="239"/>
      <c r="O215" s="239"/>
      <c r="P215" s="239"/>
      <c r="Q215" s="250"/>
      <c r="R215" s="261"/>
      <c r="S215" s="222">
        <f>R215-F215</f>
        <v>0</v>
      </c>
      <c r="T215" s="228">
        <f>IF(F215=0,0,S215/F215)</f>
        <v>0</v>
      </c>
      <c r="U215" s="222">
        <f>R215*$C$4</f>
        <v>0</v>
      </c>
      <c r="V215" s="222">
        <f>U215-G215</f>
        <v>0</v>
      </c>
      <c r="W215" s="228">
        <f>IF(G215=0,0,V215/G215)</f>
        <v>0</v>
      </c>
      <c r="X215" s="228"/>
      <c r="Y215" s="35"/>
    </row>
    <row r="216" spans="1:25" ht="15" customHeight="1" x14ac:dyDescent="0.25">
      <c r="A216" s="113" t="s">
        <v>129</v>
      </c>
      <c r="B216" s="174" t="s">
        <v>522</v>
      </c>
      <c r="C216" s="18" t="s">
        <v>482</v>
      </c>
      <c r="D216" s="22">
        <v>2</v>
      </c>
      <c r="E216" s="15">
        <v>910</v>
      </c>
      <c r="F216" s="3">
        <f>D216*E216</f>
        <v>1820</v>
      </c>
      <c r="G216" s="39">
        <f>F216*$C$4</f>
        <v>1820</v>
      </c>
      <c r="H216" s="239"/>
      <c r="I216" s="239"/>
      <c r="J216" s="239"/>
      <c r="K216" s="239"/>
      <c r="L216" s="239"/>
      <c r="M216" s="239"/>
      <c r="N216" s="239"/>
      <c r="O216" s="239"/>
      <c r="P216" s="239"/>
      <c r="Q216" s="250"/>
      <c r="R216" s="261"/>
      <c r="S216" s="222">
        <f>R216-F216</f>
        <v>-1820</v>
      </c>
      <c r="T216" s="228">
        <f>IF(F216=0,0,S216/F216)</f>
        <v>-1</v>
      </c>
      <c r="U216" s="222">
        <f>R216*$C$4</f>
        <v>0</v>
      </c>
      <c r="V216" s="222">
        <f>U216-G216</f>
        <v>-1820</v>
      </c>
      <c r="W216" s="228">
        <f>IF(G216=0,0,V216/G216)</f>
        <v>-1</v>
      </c>
      <c r="X216" s="837"/>
      <c r="Y216" s="35"/>
    </row>
    <row r="217" spans="1:25" ht="15" customHeight="1" x14ac:dyDescent="0.25">
      <c r="A217" s="113" t="s">
        <v>319</v>
      </c>
      <c r="B217" s="174" t="s">
        <v>523</v>
      </c>
      <c r="C217" s="412" t="s">
        <v>482</v>
      </c>
      <c r="D217" s="413">
        <v>1</v>
      </c>
      <c r="E217" s="414">
        <v>11500</v>
      </c>
      <c r="F217" s="3">
        <f>D217*E217</f>
        <v>11500</v>
      </c>
      <c r="G217" s="39">
        <f>F217*$C$4</f>
        <v>11500</v>
      </c>
      <c r="H217" s="239"/>
      <c r="I217" s="239"/>
      <c r="J217" s="239"/>
      <c r="K217" s="239"/>
      <c r="L217" s="239"/>
      <c r="M217" s="239"/>
      <c r="N217" s="239"/>
      <c r="O217" s="239"/>
      <c r="P217" s="239"/>
      <c r="Q217" s="250"/>
      <c r="R217" s="261"/>
      <c r="S217" s="222"/>
      <c r="T217" s="228"/>
      <c r="U217" s="222"/>
      <c r="V217" s="222"/>
      <c r="W217" s="228"/>
      <c r="X217" s="837" t="s">
        <v>943</v>
      </c>
      <c r="Y217" s="35"/>
    </row>
    <row r="218" spans="1:25" ht="15" customHeight="1" x14ac:dyDescent="0.25">
      <c r="A218" s="103"/>
      <c r="B218" s="174"/>
      <c r="C218" s="12"/>
      <c r="D218" s="23"/>
      <c r="E218" s="24"/>
      <c r="F218" s="3"/>
      <c r="G218" s="39"/>
      <c r="H218" s="239"/>
      <c r="I218" s="239"/>
      <c r="J218" s="239"/>
      <c r="K218" s="239"/>
      <c r="L218" s="239"/>
      <c r="M218" s="239"/>
      <c r="N218" s="239"/>
      <c r="O218" s="239"/>
      <c r="P218" s="239"/>
      <c r="Q218" s="250"/>
      <c r="R218" s="255"/>
      <c r="S218" s="222"/>
      <c r="T218" s="228"/>
      <c r="U218" s="222"/>
      <c r="V218" s="222"/>
      <c r="W218" s="228"/>
      <c r="X218" s="228"/>
      <c r="Y218" s="35"/>
    </row>
    <row r="219" spans="1:25" ht="15" customHeight="1" thickBot="1" x14ac:dyDescent="0.3">
      <c r="A219" s="103"/>
      <c r="B219" s="150" t="s">
        <v>199</v>
      </c>
      <c r="C219" s="2"/>
      <c r="D219" s="146"/>
      <c r="E219" s="147"/>
      <c r="F219" s="36">
        <f>SUM(F213:F217)</f>
        <v>18960</v>
      </c>
      <c r="G219" s="36">
        <f>SUM(G213:G217)</f>
        <v>18960</v>
      </c>
      <c r="H219" s="241"/>
      <c r="I219" s="241"/>
      <c r="J219" s="241"/>
      <c r="K219" s="241"/>
      <c r="L219" s="241"/>
      <c r="M219" s="241"/>
      <c r="N219" s="241"/>
      <c r="O219" s="241"/>
      <c r="P219" s="241"/>
      <c r="Q219" s="252"/>
      <c r="R219" s="262"/>
      <c r="S219" s="234">
        <f>R219-F219</f>
        <v>-18960</v>
      </c>
      <c r="T219" s="235">
        <f>IF(F219=0,0,S219/F219)</f>
        <v>-1</v>
      </c>
      <c r="U219" s="234">
        <f>R219*$C$4</f>
        <v>0</v>
      </c>
      <c r="V219" s="234">
        <f>U219-G219</f>
        <v>-18960</v>
      </c>
      <c r="W219" s="235">
        <f>IF(G219=0,0,V219/G219)</f>
        <v>-1</v>
      </c>
      <c r="X219" s="235"/>
      <c r="Y219" s="35"/>
    </row>
    <row r="220" spans="1:25" ht="15" customHeight="1" thickTop="1" x14ac:dyDescent="0.25">
      <c r="A220" s="74"/>
      <c r="B220" s="178"/>
      <c r="C220" s="75"/>
      <c r="D220" s="76"/>
      <c r="E220" s="77"/>
      <c r="F220" s="179"/>
      <c r="G220" s="35"/>
      <c r="H220" s="239"/>
      <c r="I220" s="239"/>
      <c r="J220" s="239"/>
      <c r="K220" s="239"/>
      <c r="L220" s="239"/>
      <c r="M220" s="239"/>
      <c r="N220" s="239"/>
      <c r="O220" s="239"/>
      <c r="P220" s="239"/>
      <c r="Q220" s="250"/>
      <c r="R220" s="256"/>
      <c r="S220" s="222"/>
      <c r="T220" s="228"/>
      <c r="U220" s="222"/>
      <c r="V220" s="222"/>
      <c r="W220" s="228"/>
      <c r="X220" s="228"/>
      <c r="Y220" s="35"/>
    </row>
    <row r="221" spans="1:25" ht="15" customHeight="1" x14ac:dyDescent="0.25">
      <c r="A221" s="103" t="s">
        <v>163</v>
      </c>
      <c r="B221" s="103" t="s">
        <v>162</v>
      </c>
      <c r="C221" s="2"/>
      <c r="D221" s="146"/>
      <c r="E221" s="147"/>
      <c r="F221" s="3"/>
      <c r="G221" s="39"/>
      <c r="H221" s="239"/>
      <c r="I221" s="239"/>
      <c r="J221" s="239"/>
      <c r="K221" s="239"/>
      <c r="L221" s="239"/>
      <c r="M221" s="239"/>
      <c r="N221" s="239"/>
      <c r="O221" s="239"/>
      <c r="P221" s="239"/>
      <c r="Q221" s="250"/>
      <c r="R221" s="255"/>
      <c r="S221" s="222"/>
      <c r="T221" s="228"/>
      <c r="U221" s="222"/>
      <c r="V221" s="222"/>
      <c r="W221" s="228"/>
      <c r="X221" s="228"/>
      <c r="Y221" s="35"/>
    </row>
    <row r="222" spans="1:25" ht="15" customHeight="1" x14ac:dyDescent="0.25">
      <c r="A222" s="113" t="s">
        <v>168</v>
      </c>
      <c r="B222" s="174" t="s">
        <v>307</v>
      </c>
      <c r="C222" s="18" t="s">
        <v>482</v>
      </c>
      <c r="D222" s="22">
        <v>1</v>
      </c>
      <c r="E222" s="15">
        <v>0</v>
      </c>
      <c r="F222" s="3">
        <f>D222*E222</f>
        <v>0</v>
      </c>
      <c r="G222" s="39">
        <f>F222*C4</f>
        <v>0</v>
      </c>
      <c r="H222" s="239"/>
      <c r="I222" s="239"/>
      <c r="J222" s="239"/>
      <c r="K222" s="239"/>
      <c r="L222" s="239"/>
      <c r="M222" s="239"/>
      <c r="N222" s="239"/>
      <c r="O222" s="239"/>
      <c r="P222" s="239"/>
      <c r="Q222" s="250"/>
      <c r="R222" s="261"/>
      <c r="S222" s="222">
        <f>R222-F222</f>
        <v>0</v>
      </c>
      <c r="T222" s="228">
        <f>IF(F222=0,0,S222/F222)</f>
        <v>0</v>
      </c>
      <c r="U222" s="222">
        <f>R222*$C$4</f>
        <v>0</v>
      </c>
      <c r="V222" s="222">
        <f>U222-G222</f>
        <v>0</v>
      </c>
      <c r="W222" s="228">
        <f>IF(G222=0,0,V222/G222)</f>
        <v>0</v>
      </c>
      <c r="X222" s="228"/>
      <c r="Y222" s="35"/>
    </row>
    <row r="223" spans="1:25" ht="15" customHeight="1" x14ac:dyDescent="0.25">
      <c r="A223" s="113" t="s">
        <v>169</v>
      </c>
      <c r="B223" s="174" t="s">
        <v>165</v>
      </c>
      <c r="C223" s="18"/>
      <c r="D223" s="22"/>
      <c r="E223" s="15"/>
      <c r="F223" s="3">
        <f>D223*E223</f>
        <v>0</v>
      </c>
      <c r="G223" s="39">
        <f>F223*C4</f>
        <v>0</v>
      </c>
      <c r="H223" s="239"/>
      <c r="I223" s="239"/>
      <c r="J223" s="239"/>
      <c r="K223" s="239"/>
      <c r="L223" s="239"/>
      <c r="M223" s="239"/>
      <c r="N223" s="239"/>
      <c r="O223" s="239"/>
      <c r="P223" s="239"/>
      <c r="Q223" s="250"/>
      <c r="R223" s="261"/>
      <c r="S223" s="222">
        <f>R223-F223</f>
        <v>0</v>
      </c>
      <c r="T223" s="228">
        <f>IF(F223=0,0,S223/F223)</f>
        <v>0</v>
      </c>
      <c r="U223" s="222">
        <f>R223*$C$4</f>
        <v>0</v>
      </c>
      <c r="V223" s="222">
        <f>U223-G223</f>
        <v>0</v>
      </c>
      <c r="W223" s="228">
        <f>IF(G223=0,0,V223/G223)</f>
        <v>0</v>
      </c>
      <c r="X223" s="228"/>
      <c r="Y223" s="35"/>
    </row>
    <row r="224" spans="1:25" ht="15" customHeight="1" x14ac:dyDescent="0.25">
      <c r="A224" s="113" t="s">
        <v>170</v>
      </c>
      <c r="B224" s="174" t="s">
        <v>166</v>
      </c>
      <c r="C224" s="18"/>
      <c r="D224" s="22"/>
      <c r="E224" s="15"/>
      <c r="F224" s="3">
        <f>D224*E224</f>
        <v>0</v>
      </c>
      <c r="G224" s="39">
        <f>F224*C4</f>
        <v>0</v>
      </c>
      <c r="H224" s="239"/>
      <c r="I224" s="239"/>
      <c r="J224" s="239"/>
      <c r="K224" s="239"/>
      <c r="L224" s="239"/>
      <c r="M224" s="239"/>
      <c r="N224" s="239"/>
      <c r="O224" s="239"/>
      <c r="P224" s="239"/>
      <c r="Q224" s="250"/>
      <c r="R224" s="261"/>
      <c r="S224" s="222">
        <f>R224-F224</f>
        <v>0</v>
      </c>
      <c r="T224" s="228">
        <f>IF(F224=0,0,S224/F224)</f>
        <v>0</v>
      </c>
      <c r="U224" s="222">
        <f>R224*$C$4</f>
        <v>0</v>
      </c>
      <c r="V224" s="222">
        <f>U224-G224</f>
        <v>0</v>
      </c>
      <c r="W224" s="228">
        <f>IF(G224=0,0,V224/G224)</f>
        <v>0</v>
      </c>
      <c r="X224" s="228"/>
      <c r="Y224" s="35"/>
    </row>
    <row r="225" spans="1:25" ht="15" customHeight="1" x14ac:dyDescent="0.25">
      <c r="A225" s="103"/>
      <c r="B225" s="174"/>
      <c r="C225" s="12"/>
      <c r="D225" s="23"/>
      <c r="E225" s="24"/>
      <c r="F225" s="3"/>
      <c r="G225" s="39"/>
      <c r="H225" s="239"/>
      <c r="I225" s="239"/>
      <c r="J225" s="239"/>
      <c r="K225" s="239"/>
      <c r="L225" s="239"/>
      <c r="M225" s="239"/>
      <c r="N225" s="239"/>
      <c r="O225" s="239"/>
      <c r="P225" s="239"/>
      <c r="Q225" s="250"/>
      <c r="R225" s="255"/>
      <c r="S225" s="234"/>
      <c r="T225" s="235"/>
      <c r="U225" s="234"/>
      <c r="V225" s="234"/>
      <c r="W225" s="235"/>
      <c r="X225" s="235"/>
      <c r="Y225" s="35"/>
    </row>
    <row r="226" spans="1:25" ht="15" customHeight="1" thickBot="1" x14ac:dyDescent="0.3">
      <c r="A226" s="103"/>
      <c r="B226" s="150" t="s">
        <v>167</v>
      </c>
      <c r="C226" s="2"/>
      <c r="D226" s="146"/>
      <c r="E226" s="147"/>
      <c r="F226" s="36">
        <f>SUM(F222:F224)</f>
        <v>0</v>
      </c>
      <c r="G226" s="36">
        <f>SUM(G222:G224)</f>
        <v>0</v>
      </c>
      <c r="H226" s="241"/>
      <c r="I226" s="241"/>
      <c r="J226" s="241"/>
      <c r="K226" s="241"/>
      <c r="L226" s="241"/>
      <c r="M226" s="241"/>
      <c r="N226" s="241"/>
      <c r="O226" s="241"/>
      <c r="P226" s="241"/>
      <c r="Q226" s="252"/>
      <c r="R226" s="262"/>
      <c r="S226" s="234">
        <f>R226-F226</f>
        <v>0</v>
      </c>
      <c r="T226" s="235">
        <f>IF(F226=0,0,S226/F226)</f>
        <v>0</v>
      </c>
      <c r="U226" s="234">
        <f>R226*$C$4</f>
        <v>0</v>
      </c>
      <c r="V226" s="234">
        <f>U226-G226</f>
        <v>0</v>
      </c>
      <c r="W226" s="235">
        <f>IF(G226=0,0,V226/G226)</f>
        <v>0</v>
      </c>
      <c r="X226" s="235"/>
      <c r="Y226" s="35"/>
    </row>
    <row r="227" spans="1:25" ht="15" customHeight="1" thickTop="1" x14ac:dyDescent="0.25">
      <c r="A227" s="103"/>
      <c r="B227" s="150"/>
      <c r="C227" s="2"/>
      <c r="D227" s="146"/>
      <c r="E227" s="147"/>
      <c r="F227" s="173"/>
      <c r="G227" s="173"/>
      <c r="H227" s="241"/>
      <c r="I227" s="241"/>
      <c r="J227" s="241"/>
      <c r="K227" s="241"/>
      <c r="L227" s="241"/>
      <c r="M227" s="241"/>
      <c r="N227" s="241"/>
      <c r="O227" s="241"/>
      <c r="P227" s="241"/>
      <c r="Q227" s="252"/>
      <c r="R227" s="262"/>
      <c r="S227" s="234"/>
      <c r="T227" s="235"/>
      <c r="U227" s="234"/>
      <c r="V227" s="234"/>
      <c r="W227" s="235"/>
      <c r="X227" s="235"/>
      <c r="Y227" s="35"/>
    </row>
    <row r="228" spans="1:25" ht="15" customHeight="1" thickBot="1" x14ac:dyDescent="0.3">
      <c r="A228" s="180"/>
      <c r="B228" s="181" t="s">
        <v>53</v>
      </c>
      <c r="C228" s="183"/>
      <c r="D228" s="182"/>
      <c r="E228" s="184"/>
      <c r="F228" s="40">
        <f>SUM(F97+F161+F173+F192+F201+F210+F219+F226)</f>
        <v>883710</v>
      </c>
      <c r="G228" s="40">
        <f>F228*C4</f>
        <v>883710</v>
      </c>
      <c r="H228" s="241"/>
      <c r="I228" s="241"/>
      <c r="J228" s="241"/>
      <c r="K228" s="241"/>
      <c r="L228" s="241"/>
      <c r="M228" s="241"/>
      <c r="N228" s="241"/>
      <c r="O228" s="241"/>
      <c r="P228" s="241"/>
      <c r="Q228" s="252"/>
      <c r="R228" s="262"/>
      <c r="S228" s="223">
        <f>R228-F228</f>
        <v>-883710</v>
      </c>
      <c r="T228" s="233">
        <f>IF(F228=0,0,S228/F228)</f>
        <v>-1</v>
      </c>
      <c r="U228" s="223">
        <f>R228*$C$4</f>
        <v>0</v>
      </c>
      <c r="V228" s="223">
        <f>U228-G228</f>
        <v>-883710</v>
      </c>
      <c r="W228" s="233">
        <f>IF(G228=0,0,V228/G228)</f>
        <v>-1</v>
      </c>
      <c r="X228" s="408"/>
      <c r="Y228" s="35"/>
    </row>
    <row r="229" spans="1:25" ht="15" customHeight="1" thickTop="1" x14ac:dyDescent="0.25">
      <c r="A229" s="74"/>
      <c r="B229" s="91"/>
      <c r="C229" s="75"/>
      <c r="D229" s="76"/>
      <c r="E229" s="77"/>
      <c r="F229" s="34"/>
      <c r="G229" s="35"/>
      <c r="H229" s="239"/>
      <c r="I229" s="239"/>
      <c r="J229" s="239"/>
      <c r="K229" s="239"/>
      <c r="L229" s="239"/>
      <c r="M229" s="239"/>
      <c r="N229" s="239"/>
      <c r="O229" s="239"/>
      <c r="P229" s="239"/>
      <c r="Q229" s="250"/>
      <c r="R229" s="256"/>
      <c r="S229" s="222"/>
      <c r="T229" s="228"/>
      <c r="U229" s="222"/>
      <c r="V229" s="222"/>
      <c r="W229" s="228"/>
      <c r="X229" s="228"/>
      <c r="Y229" s="35"/>
    </row>
    <row r="230" spans="1:25" ht="15" customHeight="1" x14ac:dyDescent="0.25">
      <c r="A230" s="74" t="s">
        <v>61</v>
      </c>
      <c r="B230" s="35"/>
      <c r="C230" s="75"/>
      <c r="D230" s="76"/>
      <c r="E230" s="77"/>
      <c r="F230" s="34"/>
      <c r="G230" s="35"/>
      <c r="H230" s="239"/>
      <c r="I230" s="239"/>
      <c r="J230" s="239"/>
      <c r="K230" s="239"/>
      <c r="L230" s="239"/>
      <c r="M230" s="239"/>
      <c r="N230" s="239"/>
      <c r="O230" s="239"/>
      <c r="P230" s="239"/>
      <c r="Q230" s="250"/>
      <c r="R230" s="256"/>
      <c r="S230" s="222"/>
      <c r="T230" s="228"/>
      <c r="U230" s="222"/>
      <c r="V230" s="222"/>
      <c r="W230" s="228"/>
      <c r="X230" s="228"/>
      <c r="Y230" s="35"/>
    </row>
    <row r="231" spans="1:25" ht="15" customHeight="1" x14ac:dyDescent="0.25">
      <c r="A231" s="74" t="s">
        <v>18</v>
      </c>
      <c r="B231" s="185" t="s">
        <v>9</v>
      </c>
      <c r="C231" s="75"/>
      <c r="D231" s="76"/>
      <c r="E231" s="77"/>
      <c r="F231" s="34"/>
      <c r="G231" s="35"/>
      <c r="H231" s="239"/>
      <c r="I231" s="239"/>
      <c r="J231" s="239"/>
      <c r="K231" s="239"/>
      <c r="L231" s="239"/>
      <c r="M231" s="239"/>
      <c r="N231" s="239"/>
      <c r="O231" s="239"/>
      <c r="P231" s="239"/>
      <c r="Q231" s="250"/>
      <c r="R231" s="256"/>
      <c r="S231" s="222"/>
      <c r="T231" s="228"/>
      <c r="U231" s="222"/>
      <c r="V231" s="222"/>
      <c r="W231" s="228"/>
      <c r="X231" s="228"/>
      <c r="Y231" s="35"/>
    </row>
    <row r="232" spans="1:25" ht="15" customHeight="1" x14ac:dyDescent="0.25">
      <c r="A232" s="74"/>
      <c r="B232" s="153" t="s">
        <v>524</v>
      </c>
      <c r="C232" s="18" t="s">
        <v>432</v>
      </c>
      <c r="D232" s="22">
        <v>12</v>
      </c>
      <c r="E232" s="15">
        <f>3500*50%</f>
        <v>1750</v>
      </c>
      <c r="F232" s="34">
        <f t="shared" ref="F232:F237" si="14">D232*E232</f>
        <v>21000</v>
      </c>
      <c r="G232" s="35">
        <f t="shared" ref="G232:G237" si="15">F232*$C$4</f>
        <v>21000</v>
      </c>
      <c r="H232" s="239"/>
      <c r="I232" s="239"/>
      <c r="J232" s="239"/>
      <c r="K232" s="239"/>
      <c r="L232" s="239"/>
      <c r="M232" s="239"/>
      <c r="N232" s="239"/>
      <c r="O232" s="239"/>
      <c r="P232" s="239"/>
      <c r="Q232" s="250"/>
      <c r="R232" s="261"/>
      <c r="S232" s="222">
        <f>R232-F232</f>
        <v>-21000</v>
      </c>
      <c r="T232" s="228">
        <f>IF(F232=0,0,S232/F232)</f>
        <v>-1</v>
      </c>
      <c r="U232" s="222">
        <f>R232*$C$4</f>
        <v>0</v>
      </c>
      <c r="V232" s="222">
        <f>U232-G232</f>
        <v>-21000</v>
      </c>
      <c r="W232" s="228">
        <f>IF(G232=0,0,V232/G232)</f>
        <v>-1</v>
      </c>
      <c r="X232" s="228"/>
      <c r="Y232" s="35"/>
    </row>
    <row r="233" spans="1:25" ht="15" customHeight="1" x14ac:dyDescent="0.25">
      <c r="A233" s="74"/>
      <c r="B233" s="153" t="s">
        <v>527</v>
      </c>
      <c r="C233" s="18" t="s">
        <v>432</v>
      </c>
      <c r="D233" s="22">
        <v>12</v>
      </c>
      <c r="E233" s="15">
        <f>3500*30%</f>
        <v>1050</v>
      </c>
      <c r="F233" s="34">
        <f>D233*E233</f>
        <v>12600</v>
      </c>
      <c r="G233" s="35">
        <f>F233*$C$4</f>
        <v>12600</v>
      </c>
      <c r="H233" s="239"/>
      <c r="I233" s="239"/>
      <c r="J233" s="239"/>
      <c r="K233" s="239"/>
      <c r="L233" s="239"/>
      <c r="M233" s="239"/>
      <c r="N233" s="239"/>
      <c r="O233" s="239"/>
      <c r="P233" s="239"/>
      <c r="Q233" s="250"/>
      <c r="R233" s="261"/>
      <c r="S233" s="222"/>
      <c r="T233" s="228"/>
      <c r="U233" s="222"/>
      <c r="V233" s="222"/>
      <c r="W233" s="228"/>
      <c r="X233" s="228"/>
      <c r="Y233" s="35"/>
    </row>
    <row r="234" spans="1:25" ht="15" customHeight="1" x14ac:dyDescent="0.25">
      <c r="A234" s="74"/>
      <c r="B234" s="153" t="s">
        <v>525</v>
      </c>
      <c r="C234" s="18" t="s">
        <v>432</v>
      </c>
      <c r="D234" s="22">
        <v>12</v>
      </c>
      <c r="E234" s="15">
        <f>5535*25%</f>
        <v>1383.75</v>
      </c>
      <c r="F234" s="34">
        <f t="shared" si="14"/>
        <v>16605</v>
      </c>
      <c r="G234" s="35">
        <f t="shared" si="15"/>
        <v>16605</v>
      </c>
      <c r="H234" s="239"/>
      <c r="I234" s="239"/>
      <c r="J234" s="239"/>
      <c r="K234" s="239"/>
      <c r="L234" s="239"/>
      <c r="M234" s="239"/>
      <c r="N234" s="239"/>
      <c r="O234" s="239"/>
      <c r="P234" s="239"/>
      <c r="Q234" s="250"/>
      <c r="R234" s="261"/>
      <c r="S234" s="222">
        <f>R234-F234</f>
        <v>-16605</v>
      </c>
      <c r="T234" s="228">
        <f>IF(F234=0,0,S234/F234)</f>
        <v>-1</v>
      </c>
      <c r="U234" s="222">
        <f>R234*$C$4</f>
        <v>0</v>
      </c>
      <c r="V234" s="222">
        <f>U234-G234</f>
        <v>-16605</v>
      </c>
      <c r="W234" s="228">
        <f>IF(G234=0,0,V234/G234)</f>
        <v>-1</v>
      </c>
      <c r="X234" s="228"/>
      <c r="Y234" s="35"/>
    </row>
    <row r="235" spans="1:25" ht="15" customHeight="1" x14ac:dyDescent="0.25">
      <c r="A235" s="74"/>
      <c r="B235" s="153" t="s">
        <v>526</v>
      </c>
      <c r="C235" s="18" t="s">
        <v>432</v>
      </c>
      <c r="D235" s="22">
        <v>12</v>
      </c>
      <c r="E235" s="15">
        <f>3500*20%</f>
        <v>700</v>
      </c>
      <c r="F235" s="34">
        <f t="shared" si="14"/>
        <v>8400</v>
      </c>
      <c r="G235" s="35">
        <f t="shared" si="15"/>
        <v>8400</v>
      </c>
      <c r="H235" s="239"/>
      <c r="I235" s="239"/>
      <c r="J235" s="239"/>
      <c r="K235" s="239"/>
      <c r="L235" s="239"/>
      <c r="M235" s="239"/>
      <c r="N235" s="239"/>
      <c r="O235" s="239"/>
      <c r="P235" s="239"/>
      <c r="Q235" s="250"/>
      <c r="R235" s="261"/>
      <c r="S235" s="222"/>
      <c r="T235" s="228"/>
      <c r="U235" s="222"/>
      <c r="V235" s="222"/>
      <c r="W235" s="228"/>
      <c r="X235" s="228"/>
      <c r="Y235" s="35"/>
    </row>
    <row r="236" spans="1:25" ht="15" customHeight="1" x14ac:dyDescent="0.25">
      <c r="A236" s="74"/>
      <c r="B236" s="153" t="s">
        <v>528</v>
      </c>
      <c r="C236" s="18" t="s">
        <v>432</v>
      </c>
      <c r="D236" s="22">
        <v>12</v>
      </c>
      <c r="E236" s="15">
        <f>1500*40%</f>
        <v>600</v>
      </c>
      <c r="F236" s="34">
        <f t="shared" si="14"/>
        <v>7200</v>
      </c>
      <c r="G236" s="35">
        <f t="shared" si="15"/>
        <v>7200</v>
      </c>
      <c r="H236" s="239"/>
      <c r="I236" s="239"/>
      <c r="J236" s="239"/>
      <c r="K236" s="239"/>
      <c r="L236" s="239"/>
      <c r="M236" s="239"/>
      <c r="N236" s="239"/>
      <c r="O236" s="239"/>
      <c r="P236" s="239"/>
      <c r="Q236" s="250"/>
      <c r="R236" s="261"/>
      <c r="S236" s="222"/>
      <c r="T236" s="228"/>
      <c r="U236" s="222"/>
      <c r="V236" s="222"/>
      <c r="W236" s="228"/>
      <c r="X236" s="228"/>
      <c r="Y236" s="35"/>
    </row>
    <row r="237" spans="1:25" ht="15" customHeight="1" x14ac:dyDescent="0.25">
      <c r="A237" s="74"/>
      <c r="B237" s="153" t="s">
        <v>529</v>
      </c>
      <c r="C237" s="18" t="s">
        <v>432</v>
      </c>
      <c r="D237" s="22">
        <v>12</v>
      </c>
      <c r="E237" s="15">
        <f>1600*15%</f>
        <v>240</v>
      </c>
      <c r="F237" s="34">
        <f t="shared" si="14"/>
        <v>2880</v>
      </c>
      <c r="G237" s="35">
        <f t="shared" si="15"/>
        <v>2880</v>
      </c>
      <c r="H237" s="239"/>
      <c r="I237" s="239"/>
      <c r="J237" s="239"/>
      <c r="K237" s="239"/>
      <c r="L237" s="239"/>
      <c r="M237" s="239"/>
      <c r="N237" s="239"/>
      <c r="O237" s="239"/>
      <c r="P237" s="239"/>
      <c r="Q237" s="250"/>
      <c r="R237" s="261"/>
      <c r="S237" s="222">
        <f>R237-F237</f>
        <v>-2880</v>
      </c>
      <c r="T237" s="228">
        <f>IF(F237=0,0,S237/F237)</f>
        <v>-1</v>
      </c>
      <c r="U237" s="222">
        <f>R237*$C$4</f>
        <v>0</v>
      </c>
      <c r="V237" s="222">
        <f>U237-G237</f>
        <v>-2880</v>
      </c>
      <c r="W237" s="228">
        <f>IF(G237=0,0,V237/G237)</f>
        <v>-1</v>
      </c>
      <c r="X237" s="228"/>
      <c r="Y237" s="35"/>
    </row>
    <row r="238" spans="1:25" ht="15" customHeight="1" x14ac:dyDescent="0.25">
      <c r="A238" s="74"/>
      <c r="B238" s="186" t="s">
        <v>39</v>
      </c>
      <c r="C238" s="6"/>
      <c r="D238" s="7"/>
      <c r="E238" s="8"/>
      <c r="F238" s="34"/>
      <c r="G238" s="35"/>
      <c r="H238" s="239"/>
      <c r="I238" s="239"/>
      <c r="J238" s="239"/>
      <c r="K238" s="239"/>
      <c r="L238" s="239"/>
      <c r="M238" s="239"/>
      <c r="N238" s="239"/>
      <c r="O238" s="239"/>
      <c r="P238" s="239"/>
      <c r="Q238" s="250"/>
      <c r="R238" s="256"/>
      <c r="S238" s="222"/>
      <c r="T238" s="228"/>
      <c r="U238" s="222"/>
      <c r="V238" s="222"/>
      <c r="W238" s="228"/>
      <c r="X238" s="228"/>
      <c r="Y238" s="35"/>
    </row>
    <row r="239" spans="1:25" ht="15" customHeight="1" x14ac:dyDescent="0.25">
      <c r="A239" s="74"/>
      <c r="B239" s="153" t="s">
        <v>496</v>
      </c>
      <c r="C239" s="18" t="s">
        <v>432</v>
      </c>
      <c r="D239" s="22">
        <v>12</v>
      </c>
      <c r="E239" s="15">
        <f>1000*20%</f>
        <v>200</v>
      </c>
      <c r="F239" s="34">
        <f>D239*E239</f>
        <v>2400</v>
      </c>
      <c r="G239" s="35">
        <f>F239*C4</f>
        <v>2400</v>
      </c>
      <c r="H239" s="239"/>
      <c r="I239" s="239"/>
      <c r="J239" s="239"/>
      <c r="K239" s="239"/>
      <c r="L239" s="239"/>
      <c r="M239" s="239"/>
      <c r="N239" s="239"/>
      <c r="O239" s="239"/>
      <c r="P239" s="239"/>
      <c r="Q239" s="250"/>
      <c r="R239" s="261"/>
      <c r="S239" s="222">
        <f>R239-F239</f>
        <v>-2400</v>
      </c>
      <c r="T239" s="228">
        <f>IF(F239=0,0,S239/F239)</f>
        <v>-1</v>
      </c>
      <c r="U239" s="222">
        <f>R239*$C$4</f>
        <v>0</v>
      </c>
      <c r="V239" s="222">
        <f>U239-G239</f>
        <v>-2400</v>
      </c>
      <c r="W239" s="228">
        <f>IF(G239=0,0,V239/G239)</f>
        <v>-1</v>
      </c>
      <c r="X239" s="228"/>
      <c r="Y239" s="35"/>
    </row>
    <row r="240" spans="1:25" ht="15" customHeight="1" x14ac:dyDescent="0.25">
      <c r="A240" s="74"/>
      <c r="B240" s="153" t="s">
        <v>497</v>
      </c>
      <c r="C240" s="18" t="s">
        <v>432</v>
      </c>
      <c r="D240" s="22">
        <v>12</v>
      </c>
      <c r="E240" s="15">
        <f>1300*20%</f>
        <v>260</v>
      </c>
      <c r="F240" s="34">
        <f>D240*E240</f>
        <v>3120</v>
      </c>
      <c r="G240" s="35">
        <f>F240*C4</f>
        <v>3120</v>
      </c>
      <c r="H240" s="239"/>
      <c r="I240" s="239"/>
      <c r="J240" s="239"/>
      <c r="K240" s="239"/>
      <c r="L240" s="239"/>
      <c r="M240" s="239"/>
      <c r="N240" s="239"/>
      <c r="O240" s="239"/>
      <c r="P240" s="239"/>
      <c r="Q240" s="250"/>
      <c r="R240" s="261"/>
      <c r="S240" s="222">
        <f>R240-F240</f>
        <v>-3120</v>
      </c>
      <c r="T240" s="228">
        <f>IF(F240=0,0,S240/F240)</f>
        <v>-1</v>
      </c>
      <c r="U240" s="222">
        <f>R240*$C$4</f>
        <v>0</v>
      </c>
      <c r="V240" s="222">
        <f>U240-G240</f>
        <v>-3120</v>
      </c>
      <c r="W240" s="228">
        <f>IF(G240=0,0,V240/G240)</f>
        <v>-1</v>
      </c>
      <c r="X240" s="228"/>
      <c r="Y240" s="35"/>
    </row>
    <row r="241" spans="1:25" ht="15" customHeight="1" x14ac:dyDescent="0.25">
      <c r="A241" s="74"/>
      <c r="B241" s="153" t="s">
        <v>42</v>
      </c>
      <c r="C241" s="18" t="s">
        <v>432</v>
      </c>
      <c r="D241" s="22">
        <v>12</v>
      </c>
      <c r="E241" s="15">
        <v>150</v>
      </c>
      <c r="F241" s="34">
        <f>D241*E241</f>
        <v>1800</v>
      </c>
      <c r="G241" s="35">
        <f>F241*C4</f>
        <v>1800</v>
      </c>
      <c r="H241" s="239"/>
      <c r="I241" s="239"/>
      <c r="J241" s="239"/>
      <c r="K241" s="239"/>
      <c r="L241" s="239"/>
      <c r="M241" s="239"/>
      <c r="N241" s="239"/>
      <c r="O241" s="239"/>
      <c r="P241" s="239"/>
      <c r="Q241" s="250"/>
      <c r="R241" s="261"/>
      <c r="S241" s="222">
        <f>R241-F241</f>
        <v>-1800</v>
      </c>
      <c r="T241" s="228">
        <f>IF(F241=0,0,S241/F241)</f>
        <v>-1</v>
      </c>
      <c r="U241" s="222">
        <f>R241*$C$4</f>
        <v>0</v>
      </c>
      <c r="V241" s="222">
        <f>U241-G241</f>
        <v>-1800</v>
      </c>
      <c r="W241" s="228">
        <f>IF(G241=0,0,V241/G241)</f>
        <v>-1</v>
      </c>
      <c r="X241" s="228"/>
      <c r="Y241" s="35"/>
    </row>
    <row r="242" spans="1:25" ht="15" customHeight="1" x14ac:dyDescent="0.25">
      <c r="A242" s="74"/>
      <c r="B242" s="186" t="s">
        <v>43</v>
      </c>
      <c r="C242" s="6"/>
      <c r="D242" s="7"/>
      <c r="E242" s="8"/>
      <c r="F242" s="34"/>
      <c r="G242" s="35"/>
      <c r="H242" s="239"/>
      <c r="I242" s="239"/>
      <c r="J242" s="239"/>
      <c r="K242" s="239"/>
      <c r="L242" s="239"/>
      <c r="M242" s="239"/>
      <c r="N242" s="239"/>
      <c r="O242" s="239"/>
      <c r="P242" s="239"/>
      <c r="Q242" s="250"/>
      <c r="R242" s="256"/>
      <c r="S242" s="222"/>
      <c r="T242" s="228"/>
      <c r="U242" s="222"/>
      <c r="V242" s="222"/>
      <c r="W242" s="228"/>
      <c r="X242" s="228"/>
      <c r="Y242" s="35"/>
    </row>
    <row r="243" spans="1:25" ht="15" customHeight="1" x14ac:dyDescent="0.25">
      <c r="A243" s="74"/>
      <c r="B243" s="141" t="s">
        <v>44</v>
      </c>
      <c r="C243" s="18" t="s">
        <v>432</v>
      </c>
      <c r="D243" s="22">
        <v>12</v>
      </c>
      <c r="E243" s="15">
        <v>100</v>
      </c>
      <c r="F243" s="34">
        <f>D243*E243</f>
        <v>1200</v>
      </c>
      <c r="G243" s="35">
        <f>F243*C4</f>
        <v>1200</v>
      </c>
      <c r="H243" s="239"/>
      <c r="I243" s="239"/>
      <c r="J243" s="239"/>
      <c r="K243" s="239"/>
      <c r="L243" s="239"/>
      <c r="M243" s="239"/>
      <c r="N243" s="239"/>
      <c r="O243" s="239"/>
      <c r="P243" s="239"/>
      <c r="Q243" s="250"/>
      <c r="R243" s="261"/>
      <c r="S243" s="222">
        <f>R243-F243</f>
        <v>-1200</v>
      </c>
      <c r="T243" s="228">
        <f>IF(F243=0,0,S243/F243)</f>
        <v>-1</v>
      </c>
      <c r="U243" s="222">
        <f>R243*$C$4</f>
        <v>0</v>
      </c>
      <c r="V243" s="222">
        <f>U243-G243</f>
        <v>-1200</v>
      </c>
      <c r="W243" s="228">
        <f>IF(G243=0,0,V243/G243)</f>
        <v>-1</v>
      </c>
      <c r="X243" s="228"/>
      <c r="Y243" s="35"/>
    </row>
    <row r="244" spans="1:25" ht="15" customHeight="1" x14ac:dyDescent="0.25">
      <c r="A244" s="74"/>
      <c r="B244" s="186" t="s">
        <v>45</v>
      </c>
      <c r="C244" s="5"/>
      <c r="D244" s="5"/>
      <c r="E244" s="5"/>
      <c r="F244" s="172"/>
      <c r="G244" s="35"/>
      <c r="H244" s="239"/>
      <c r="I244" s="239"/>
      <c r="J244" s="239"/>
      <c r="K244" s="239"/>
      <c r="L244" s="239"/>
      <c r="M244" s="239"/>
      <c r="N244" s="239"/>
      <c r="O244" s="239"/>
      <c r="P244" s="239"/>
      <c r="Q244" s="250"/>
      <c r="R244" s="256"/>
      <c r="S244" s="222"/>
      <c r="T244" s="228"/>
      <c r="U244" s="222"/>
      <c r="V244" s="222"/>
      <c r="W244" s="228"/>
      <c r="X244" s="228"/>
      <c r="Y244" s="35"/>
    </row>
    <row r="245" spans="1:25" ht="15" customHeight="1" x14ac:dyDescent="0.25">
      <c r="A245" s="74"/>
      <c r="B245" s="153" t="s">
        <v>530</v>
      </c>
      <c r="C245" s="18" t="s">
        <v>482</v>
      </c>
      <c r="D245" s="22">
        <v>1</v>
      </c>
      <c r="E245" s="15">
        <v>1000</v>
      </c>
      <c r="F245" s="34">
        <f>D245*E245</f>
        <v>1000</v>
      </c>
      <c r="G245" s="35">
        <f>F245*C4</f>
        <v>1000</v>
      </c>
      <c r="H245" s="239"/>
      <c r="I245" s="239"/>
      <c r="J245" s="239"/>
      <c r="K245" s="239"/>
      <c r="L245" s="239"/>
      <c r="M245" s="239"/>
      <c r="N245" s="239"/>
      <c r="O245" s="239"/>
      <c r="P245" s="239"/>
      <c r="Q245" s="250"/>
      <c r="R245" s="261"/>
      <c r="S245" s="222">
        <f>R245-F245</f>
        <v>-1000</v>
      </c>
      <c r="T245" s="228">
        <f>IF(F245=0,0,S245/F245)</f>
        <v>-1</v>
      </c>
      <c r="U245" s="222">
        <f>R245*$C$4</f>
        <v>0</v>
      </c>
      <c r="V245" s="222">
        <f>U245-G245</f>
        <v>-1000</v>
      </c>
      <c r="W245" s="228">
        <f>IF(G245=0,0,V245/G245)</f>
        <v>-1</v>
      </c>
      <c r="X245" s="228"/>
      <c r="Y245" s="35"/>
    </row>
    <row r="246" spans="1:25" ht="15" customHeight="1" x14ac:dyDescent="0.25">
      <c r="A246" s="74"/>
      <c r="B246" s="153"/>
      <c r="C246" s="6"/>
      <c r="D246" s="7"/>
      <c r="E246" s="8"/>
      <c r="F246" s="34"/>
      <c r="G246" s="35"/>
      <c r="H246" s="239"/>
      <c r="I246" s="239"/>
      <c r="J246" s="239"/>
      <c r="K246" s="239"/>
      <c r="L246" s="239"/>
      <c r="M246" s="239"/>
      <c r="N246" s="239"/>
      <c r="O246" s="239"/>
      <c r="P246" s="239"/>
      <c r="Q246" s="250"/>
      <c r="R246" s="256"/>
      <c r="S246" s="222"/>
      <c r="T246" s="228"/>
      <c r="U246" s="222"/>
      <c r="V246" s="222"/>
      <c r="W246" s="228"/>
      <c r="X246" s="228"/>
      <c r="Y246" s="35"/>
    </row>
    <row r="247" spans="1:25" ht="15" customHeight="1" x14ac:dyDescent="0.25">
      <c r="A247" s="181"/>
      <c r="B247" s="181" t="s">
        <v>62</v>
      </c>
      <c r="C247" s="183"/>
      <c r="D247" s="182"/>
      <c r="E247" s="184"/>
      <c r="F247" s="262">
        <f>SUM(F232:F245)</f>
        <v>78205</v>
      </c>
      <c r="G247" s="409">
        <f>SUM(G232:G245)</f>
        <v>78205</v>
      </c>
      <c r="H247" s="242"/>
      <c r="I247" s="242"/>
      <c r="J247" s="242"/>
      <c r="K247" s="242"/>
      <c r="L247" s="242"/>
      <c r="M247" s="242"/>
      <c r="N247" s="242"/>
      <c r="O247" s="242"/>
      <c r="P247" s="242"/>
      <c r="Q247" s="253"/>
      <c r="R247" s="112"/>
      <c r="S247" s="223">
        <f>R247-F247</f>
        <v>-78205</v>
      </c>
      <c r="T247" s="233">
        <f>IF(F247=0,0,S247/F247)</f>
        <v>-1</v>
      </c>
      <c r="U247" s="223">
        <f>R247*$C$4</f>
        <v>0</v>
      </c>
      <c r="V247" s="223">
        <f>U247-G247</f>
        <v>-78205</v>
      </c>
      <c r="W247" s="233">
        <f>IF(G247=0,0,V247/G247)</f>
        <v>-1</v>
      </c>
      <c r="X247" s="233"/>
      <c r="Y247" s="35"/>
    </row>
    <row r="248" spans="1:25" ht="15" customHeight="1" x14ac:dyDescent="0.25">
      <c r="A248" s="150"/>
      <c r="B248" s="150"/>
      <c r="C248" s="122"/>
      <c r="D248" s="126"/>
      <c r="E248" s="127"/>
      <c r="F248" s="43">
        <f>(F247/F250)</f>
        <v>8.1301362386489454E-2</v>
      </c>
      <c r="G248" s="43">
        <f>(G247/G250)</f>
        <v>8.1301362386489454E-2</v>
      </c>
      <c r="H248" s="244"/>
      <c r="I248" s="245"/>
      <c r="J248" s="245"/>
      <c r="K248" s="245"/>
      <c r="L248" s="245"/>
      <c r="M248" s="245"/>
      <c r="N248" s="245"/>
      <c r="O248" s="245"/>
      <c r="P248" s="245"/>
      <c r="Q248" s="245"/>
      <c r="R248" s="225"/>
      <c r="S248" s="225"/>
      <c r="T248" s="225"/>
      <c r="U248" s="225"/>
      <c r="V248" s="225"/>
      <c r="W248" s="225"/>
      <c r="X248" s="225"/>
      <c r="Y248" s="39"/>
    </row>
    <row r="249" spans="1:25" ht="15" customHeight="1" x14ac:dyDescent="0.25">
      <c r="A249" s="150"/>
      <c r="B249" s="150"/>
      <c r="C249" s="122"/>
      <c r="D249" s="126"/>
      <c r="E249" s="127"/>
      <c r="F249" s="225"/>
      <c r="G249" s="225"/>
      <c r="H249" s="244"/>
      <c r="I249" s="245"/>
      <c r="J249" s="245"/>
      <c r="K249" s="245"/>
      <c r="L249" s="245"/>
      <c r="M249" s="245"/>
      <c r="N249" s="245"/>
      <c r="O249" s="245"/>
      <c r="P249" s="245"/>
      <c r="Q249" s="245"/>
      <c r="R249" s="225"/>
      <c r="S249" s="225"/>
      <c r="T249" s="225"/>
      <c r="U249" s="225"/>
      <c r="V249" s="225"/>
      <c r="W249" s="225"/>
      <c r="X249" s="225"/>
      <c r="Y249" s="39"/>
    </row>
    <row r="250" spans="1:25" ht="15" customHeight="1" thickBot="1" x14ac:dyDescent="0.3">
      <c r="A250" s="74"/>
      <c r="B250" s="74" t="s">
        <v>27</v>
      </c>
      <c r="C250" s="443"/>
      <c r="D250" s="444"/>
      <c r="E250" s="445"/>
      <c r="F250" s="625">
        <f>SUM(F228+F247)</f>
        <v>961915</v>
      </c>
      <c r="G250" s="625">
        <f>SUM(G228+G247)</f>
        <v>961915</v>
      </c>
      <c r="H250" s="241"/>
      <c r="I250" s="241"/>
      <c r="J250" s="241"/>
      <c r="K250" s="241"/>
      <c r="L250" s="241"/>
      <c r="M250" s="241"/>
      <c r="N250" s="241"/>
      <c r="O250" s="241"/>
      <c r="P250" s="241"/>
      <c r="Q250" s="241"/>
      <c r="R250" s="179"/>
      <c r="S250" s="179"/>
      <c r="T250" s="179"/>
      <c r="U250" s="179"/>
      <c r="V250" s="179"/>
      <c r="W250" s="179"/>
      <c r="X250" s="782"/>
      <c r="Y250" s="35"/>
    </row>
    <row r="251" spans="1:25" ht="15" customHeight="1" thickTop="1" x14ac:dyDescent="0.25">
      <c r="A251" s="74"/>
      <c r="B251" s="35"/>
      <c r="C251" s="443"/>
      <c r="D251" s="444"/>
      <c r="E251" s="445"/>
      <c r="F251" s="650"/>
      <c r="G251" s="770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"/>
      <c r="S251" s="1"/>
      <c r="T251" s="1"/>
      <c r="U251" s="1"/>
      <c r="V251" s="1"/>
      <c r="W251" s="1"/>
      <c r="X251" s="1"/>
      <c r="Y251" s="35"/>
    </row>
    <row r="252" spans="1:25" ht="15" customHeight="1" thickBot="1" x14ac:dyDescent="0.3">
      <c r="A252" s="74" t="s">
        <v>36</v>
      </c>
      <c r="B252" s="39"/>
      <c r="C252" s="443"/>
      <c r="D252" s="444"/>
      <c r="E252" s="445"/>
      <c r="F252" s="1">
        <f>F250*0.03</f>
        <v>28857.45</v>
      </c>
      <c r="G252" s="1">
        <f>G250*0.03</f>
        <v>28857.45</v>
      </c>
      <c r="H252" s="196"/>
      <c r="I252" s="196"/>
      <c r="J252" s="196"/>
      <c r="K252" s="196"/>
      <c r="L252" s="196"/>
      <c r="M252" s="196"/>
      <c r="N252" s="196"/>
      <c r="O252" s="196"/>
      <c r="P252" s="196"/>
      <c r="Q252" s="196"/>
      <c r="R252" s="226"/>
      <c r="S252" s="226"/>
      <c r="T252" s="226"/>
      <c r="U252" s="226"/>
      <c r="V252" s="226"/>
      <c r="W252" s="226"/>
      <c r="X252" s="125"/>
      <c r="Y252" s="35"/>
    </row>
    <row r="253" spans="1:25" ht="15" customHeight="1" x14ac:dyDescent="0.25">
      <c r="A253" s="74"/>
      <c r="B253" s="35"/>
      <c r="C253" s="443"/>
      <c r="D253" s="444"/>
      <c r="E253" s="445"/>
      <c r="F253" s="650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</row>
    <row r="254" spans="1:25" ht="15" customHeight="1" thickBot="1" x14ac:dyDescent="0.3">
      <c r="A254" s="117"/>
      <c r="B254" s="117" t="s">
        <v>28</v>
      </c>
      <c r="C254" s="491"/>
      <c r="D254" s="628"/>
      <c r="E254" s="629"/>
      <c r="F254" s="647">
        <f>SUM(F252+F250)</f>
        <v>990772.45</v>
      </c>
      <c r="G254" s="647">
        <f>SUM(G252+G250)</f>
        <v>990772.45</v>
      </c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</row>
    <row r="255" spans="1:25" ht="15" customHeight="1" x14ac:dyDescent="0.25">
      <c r="A255" s="74"/>
      <c r="B255" s="35"/>
      <c r="C255" s="443"/>
      <c r="D255" s="444"/>
      <c r="E255" s="445"/>
      <c r="F255" s="650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</row>
    <row r="256" spans="1:25" ht="15" customHeight="1" thickBot="1" x14ac:dyDescent="0.3">
      <c r="A256" s="191" t="s">
        <v>24</v>
      </c>
      <c r="B256" s="192"/>
      <c r="C256" s="632"/>
      <c r="D256" s="633"/>
      <c r="E256" s="634"/>
      <c r="F256" s="635">
        <f>SUM(F254-F80)</f>
        <v>990772.45</v>
      </c>
      <c r="G256" s="635">
        <f>SUM(G254-G80)</f>
        <v>990772.45</v>
      </c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</row>
    <row r="257" spans="1:25" ht="15" customHeight="1" thickTop="1" x14ac:dyDescent="0.25">
      <c r="A257" s="74"/>
      <c r="B257" s="35"/>
      <c r="C257" s="75"/>
      <c r="D257" s="76"/>
      <c r="E257" s="77"/>
      <c r="F257" s="78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</row>
    <row r="258" spans="1:25" ht="15" customHeight="1" x14ac:dyDescent="0.4">
      <c r="A258" s="74"/>
      <c r="B258" s="197" t="s">
        <v>16</v>
      </c>
      <c r="C258" s="75"/>
      <c r="D258" s="198" t="s">
        <v>26</v>
      </c>
      <c r="E258" s="77"/>
      <c r="F258" s="850" t="s">
        <v>17</v>
      </c>
      <c r="G258" s="851"/>
      <c r="H258" s="199"/>
      <c r="I258" s="199"/>
      <c r="J258" s="199"/>
      <c r="K258" s="199"/>
      <c r="L258" s="199"/>
      <c r="M258" s="199"/>
      <c r="N258" s="199"/>
      <c r="O258" s="199"/>
      <c r="P258" s="199"/>
      <c r="Q258" s="199"/>
      <c r="R258" s="199"/>
      <c r="S258" s="199"/>
      <c r="T258" s="199"/>
      <c r="U258" s="199"/>
      <c r="V258" s="199"/>
      <c r="W258" s="199"/>
      <c r="X258" s="199"/>
      <c r="Y258" s="35"/>
    </row>
    <row r="259" spans="1:25" ht="15" customHeight="1" x14ac:dyDescent="0.4">
      <c r="A259" s="74"/>
      <c r="B259" s="35" t="s">
        <v>499</v>
      </c>
      <c r="C259" s="75"/>
      <c r="D259" s="198">
        <v>750</v>
      </c>
      <c r="E259" s="77"/>
      <c r="F259" s="78" t="s">
        <v>500</v>
      </c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</row>
    <row r="260" spans="1:25" ht="15" customHeight="1" x14ac:dyDescent="0.25">
      <c r="A260" s="74"/>
      <c r="B260" s="35" t="s">
        <v>501</v>
      </c>
      <c r="C260" s="75"/>
      <c r="D260" s="76">
        <v>750</v>
      </c>
      <c r="E260" s="77"/>
      <c r="F260" s="78" t="s">
        <v>500</v>
      </c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</row>
    <row r="261" spans="1:25" ht="15" customHeight="1" x14ac:dyDescent="0.25">
      <c r="A261" s="74"/>
      <c r="B261" s="141" t="s">
        <v>502</v>
      </c>
      <c r="C261" s="75"/>
      <c r="D261" s="76">
        <v>0</v>
      </c>
      <c r="E261" s="77"/>
      <c r="F261" s="78" t="s">
        <v>500</v>
      </c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</row>
    <row r="262" spans="1:25" ht="15" customHeight="1" x14ac:dyDescent="0.25">
      <c r="A262" s="74"/>
      <c r="B262" s="35"/>
      <c r="C262" s="75"/>
      <c r="D262" s="76"/>
      <c r="E262" s="77"/>
      <c r="F262" s="78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</row>
    <row r="263" spans="1:25" ht="15" customHeight="1" x14ac:dyDescent="0.25">
      <c r="A263" s="74"/>
      <c r="B263" s="35"/>
      <c r="C263" s="75"/>
      <c r="D263" s="76"/>
      <c r="E263" s="77"/>
      <c r="F263" s="78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</row>
    <row r="264" spans="1:25" ht="15" customHeight="1" x14ac:dyDescent="0.25">
      <c r="A264" s="74"/>
      <c r="B264" s="35"/>
      <c r="C264" s="75"/>
      <c r="D264" s="76"/>
      <c r="E264" s="77"/>
      <c r="F264" s="78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</row>
    <row r="265" spans="1:25" ht="15" customHeight="1" x14ac:dyDescent="0.25">
      <c r="A265" s="74"/>
      <c r="B265" s="35"/>
      <c r="C265" s="75"/>
      <c r="D265" s="76"/>
      <c r="E265" s="77"/>
      <c r="F265" s="78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</row>
  </sheetData>
  <mergeCells count="3">
    <mergeCell ref="A1:G1"/>
    <mergeCell ref="H76:Q76"/>
    <mergeCell ref="F258:G258"/>
  </mergeCells>
  <conditionalFormatting sqref="F248:X249">
    <cfRule type="cellIs" dxfId="0" priority="1" stopIfTrue="1" operator="greaterThan">
      <formula>15</formula>
    </cfRule>
  </conditionalFormatting>
  <pageMargins left="0.7" right="0.7" top="0.75" bottom="0.75" header="0.3" footer="0.3"/>
  <pageSetup paperSize="9" scale="54" fitToHeight="2" orientation="portrait" horizontalDpi="0" verticalDpi="0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B1" workbookViewId="0">
      <selection activeCell="B17" sqref="B17"/>
    </sheetView>
  </sheetViews>
  <sheetFormatPr defaultColWidth="9.109375" defaultRowHeight="13.2" x14ac:dyDescent="0.25"/>
  <cols>
    <col min="1" max="1" width="59.33203125" style="63" customWidth="1"/>
    <col min="2" max="12" width="18" style="63" customWidth="1"/>
    <col min="13" max="16384" width="9.109375" style="63"/>
  </cols>
  <sheetData>
    <row r="1" spans="1:12" ht="27" customHeight="1" thickBot="1" x14ac:dyDescent="0.3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2" ht="27" customHeight="1" thickBot="1" x14ac:dyDescent="0.3">
      <c r="A2" s="856" t="s">
        <v>196</v>
      </c>
      <c r="B2" s="857"/>
      <c r="C2" s="857"/>
      <c r="D2" s="857"/>
      <c r="E2" s="857"/>
      <c r="F2" s="858"/>
      <c r="G2" s="858"/>
      <c r="H2" s="858"/>
      <c r="I2" s="858"/>
      <c r="J2" s="858"/>
      <c r="K2" s="859"/>
    </row>
    <row r="3" spans="1:12" ht="27" customHeight="1" thickBot="1" x14ac:dyDescent="0.3">
      <c r="A3" s="213" t="s">
        <v>195</v>
      </c>
      <c r="B3" s="64" t="s">
        <v>945</v>
      </c>
      <c r="C3" s="65" t="s">
        <v>946</v>
      </c>
      <c r="D3" s="65" t="s">
        <v>947</v>
      </c>
      <c r="E3" s="65" t="s">
        <v>948</v>
      </c>
      <c r="F3" s="838" t="s">
        <v>950</v>
      </c>
      <c r="G3" s="66" t="s">
        <v>949</v>
      </c>
      <c r="H3" s="838" t="s">
        <v>951</v>
      </c>
      <c r="I3" s="838" t="s">
        <v>952</v>
      </c>
      <c r="J3" s="838" t="s">
        <v>953</v>
      </c>
      <c r="K3" s="66" t="s">
        <v>954</v>
      </c>
    </row>
    <row r="4" spans="1:12" ht="27" customHeight="1" x14ac:dyDescent="0.25">
      <c r="A4" s="67" t="s">
        <v>70</v>
      </c>
      <c r="B4" s="49">
        <f>'DSPR- J'!G96/Consolidated!J101</f>
        <v>0</v>
      </c>
      <c r="C4" s="50">
        <f>'DSPR-L'!G107/Consolidated!J101</f>
        <v>5.4946793579257372E-2</v>
      </c>
      <c r="D4" s="50">
        <f>'HEKS-L'!G103/Consolidated!J101</f>
        <v>5.7694133258220245E-2</v>
      </c>
      <c r="E4" s="50">
        <f>'IOCC-J'!G106/Consolidated!J101</f>
        <v>0.10321925912487614</v>
      </c>
      <c r="F4" s="839">
        <f>'IOCC-L'!G65/Consolidated!J101</f>
        <v>0</v>
      </c>
      <c r="G4" s="839">
        <f>'IOCC-S'!G101/Consolidated!J101</f>
        <v>0.42927182483794823</v>
      </c>
      <c r="H4" s="839">
        <f>'LWF-J'!G109/Consolidated!J101</f>
        <v>0</v>
      </c>
      <c r="I4" s="839">
        <f>'LWF-S'!G98/Consolidated!J101</f>
        <v>0.35486798919969803</v>
      </c>
      <c r="J4" s="839">
        <f>'MECC-L'!G100/Consolidated!J101</f>
        <v>0</v>
      </c>
      <c r="K4" s="51">
        <f>'MECC-S'!G103/Consolidated!J101</f>
        <v>0</v>
      </c>
      <c r="L4" s="843"/>
    </row>
    <row r="5" spans="1:12" ht="27" customHeight="1" x14ac:dyDescent="0.25">
      <c r="A5" s="68" t="s">
        <v>59</v>
      </c>
      <c r="B5" s="52">
        <f>'DSPR- J'!G102/Consolidated!J102</f>
        <v>0.34166000597627938</v>
      </c>
      <c r="C5" s="53">
        <f>'DSPR-L'!G113/Consolidated!J102</f>
        <v>8.0213647771393545E-2</v>
      </c>
      <c r="D5" s="53">
        <f>'HEKS-L'!G109/Consolidated!J102</f>
        <v>0</v>
      </c>
      <c r="E5" s="53">
        <f>'IOCC-J'!G111/Consolidated!J102</f>
        <v>4.8717328448727719E-2</v>
      </c>
      <c r="F5" s="840">
        <f>'IOCC-L'!G67/Consolidated!J102</f>
        <v>0</v>
      </c>
      <c r="G5" s="840">
        <f>'IOCC-S'!G107/Consolidated!J102</f>
        <v>0.30080117914272581</v>
      </c>
      <c r="H5" s="840">
        <f>'LWF-J'!G115/Consolidated!J102</f>
        <v>0</v>
      </c>
      <c r="I5" s="840">
        <f>'LWF-S'!G104/Consolidated!J102</f>
        <v>0.22860783866087356</v>
      </c>
      <c r="J5" s="840">
        <f>'MECC-S'!G109/Consolidated!J102</f>
        <v>0</v>
      </c>
      <c r="K5" s="54">
        <f>'MECC-L'!G106/Consolidated!J102</f>
        <v>0</v>
      </c>
      <c r="L5" s="843"/>
    </row>
    <row r="6" spans="1:12" ht="27" customHeight="1" x14ac:dyDescent="0.25">
      <c r="A6" s="68" t="s">
        <v>71</v>
      </c>
      <c r="B6" s="52">
        <f>'DSPR- J'!G108/Consolidated!J103</f>
        <v>0</v>
      </c>
      <c r="C6" s="53">
        <f>'DSPR-L'!G119/Consolidated!J103</f>
        <v>3.0055769280604636E-2</v>
      </c>
      <c r="D6" s="53">
        <f>'HEKS-L'!G115/Consolidated!J103</f>
        <v>0</v>
      </c>
      <c r="E6" s="53">
        <f>'IOCC-J'!G117/Consolidated!J103</f>
        <v>0.28177283700566846</v>
      </c>
      <c r="F6" s="840">
        <f>'IOCC-L'!G69/Consolidated!J103</f>
        <v>0.11364837759228634</v>
      </c>
      <c r="G6" s="840">
        <f>'IOCC-S'!G109/Consolidated!J103</f>
        <v>0</v>
      </c>
      <c r="H6" s="840">
        <f>'LWF-J'!G121/Consolidated!J103</f>
        <v>0</v>
      </c>
      <c r="I6" s="840">
        <f>'LWF-S'!G107/Consolidated!J103</f>
        <v>0.2112708670816329</v>
      </c>
      <c r="J6" s="840">
        <f>'MECC-S'!G115/Consolidated!J103</f>
        <v>0.36325214903980763</v>
      </c>
      <c r="K6" s="54">
        <f>'MECC-L'!G112/Consolidated!J103</f>
        <v>0</v>
      </c>
      <c r="L6" s="843"/>
    </row>
    <row r="7" spans="1:12" ht="27" customHeight="1" x14ac:dyDescent="0.25">
      <c r="A7" s="68" t="s">
        <v>72</v>
      </c>
      <c r="B7" s="52">
        <f>'DSPR- J'!G114/Consolidated!J104</f>
        <v>0.15739552835726445</v>
      </c>
      <c r="C7" s="53">
        <f>'DSPR-L'!G125/Consolidated!J104</f>
        <v>0</v>
      </c>
      <c r="D7" s="53">
        <f>'HEKS-L'!G127/Consolidated!J104</f>
        <v>0</v>
      </c>
      <c r="E7" s="53">
        <f>'IOCC-J'!G120/Consolidated!J104</f>
        <v>3.2707456857354836E-2</v>
      </c>
      <c r="F7" s="840">
        <f>'IOCC-L'!G71/Consolidated!J104</f>
        <v>9.5002582379516851E-2</v>
      </c>
      <c r="G7" s="840">
        <f>'IOCC-S'!G110/Consolidated!J104</f>
        <v>0.35625968392318802</v>
      </c>
      <c r="H7" s="840">
        <f>'LWF-J'!G127/Consolidated!J104</f>
        <v>0</v>
      </c>
      <c r="I7" s="840">
        <f>'LWF-S'!G112/Consolidated!J104</f>
        <v>0</v>
      </c>
      <c r="J7" s="840">
        <f>'MECC-S'!G121/Consolidated!J104</f>
        <v>0.1662545191641544</v>
      </c>
      <c r="K7" s="54">
        <f>'MECC-L'!G118/Consolidated!J104</f>
        <v>0.19238022931852153</v>
      </c>
      <c r="L7" s="843"/>
    </row>
    <row r="8" spans="1:12" ht="27" customHeight="1" x14ac:dyDescent="0.25">
      <c r="A8" s="68" t="s">
        <v>73</v>
      </c>
      <c r="B8" s="52">
        <f>'DSPR- J'!G120/Consolidated!J105</f>
        <v>0.11358995533116581</v>
      </c>
      <c r="C8" s="53">
        <f>'DSPR-L'!G131/Consolidated!J105</f>
        <v>4.7900690383086982E-2</v>
      </c>
      <c r="D8" s="53">
        <f>'HEKS-L'!G127/Consolidated!J105</f>
        <v>0</v>
      </c>
      <c r="E8" s="53">
        <f>'IOCC-J'!G126/Consolidated!J105</f>
        <v>0.29255217489362256</v>
      </c>
      <c r="F8" s="840">
        <f>'IOCC-L'!G78/Consolidated!J105</f>
        <v>0</v>
      </c>
      <c r="G8" s="840">
        <f>'IOCC-S'!G113/Consolidated!J105</f>
        <v>0</v>
      </c>
      <c r="H8" s="840">
        <f>'LWF-J'!G133/Consolidated!J105</f>
        <v>0.42216858148375042</v>
      </c>
      <c r="I8" s="840">
        <f>'LWF-S'!G118/Consolidated!J105</f>
        <v>4.4861323981696767E-2</v>
      </c>
      <c r="J8" s="840">
        <f>'MECC-S'!G127/Consolidated!J105</f>
        <v>2.1773041083221357E-2</v>
      </c>
      <c r="K8" s="54">
        <f>'MECC-L'!G124/Consolidated!J105</f>
        <v>5.7154232843456061E-2</v>
      </c>
      <c r="L8" s="843"/>
    </row>
    <row r="9" spans="1:12" ht="27" customHeight="1" x14ac:dyDescent="0.25">
      <c r="A9" s="68" t="s">
        <v>58</v>
      </c>
      <c r="B9" s="52">
        <f>'DSPR- J'!G128/Consolidated!J106</f>
        <v>0.38159216138751084</v>
      </c>
      <c r="C9" s="53">
        <f>'DSPR-L'!G137/Consolidated!J106</f>
        <v>0</v>
      </c>
      <c r="D9" s="53">
        <f>'HEKS-L'!G134/Consolidated!J106</f>
        <v>3.7383461627003983E-2</v>
      </c>
      <c r="E9" s="53">
        <f>'IOCC-J'!G137/Consolidated!J106</f>
        <v>0</v>
      </c>
      <c r="F9" s="840">
        <f>'IOCC-L'!G84/Consolidated!J106</f>
        <v>9.9339555769036997E-2</v>
      </c>
      <c r="G9" s="840">
        <f>'IOCC-S'!G114/Consolidated!J106</f>
        <v>0</v>
      </c>
      <c r="H9" s="840">
        <f>'LWF-J'!G157/Consolidated!J106</f>
        <v>6.7835867346206419E-2</v>
      </c>
      <c r="I9" s="840">
        <f>'LWF-S'!G124/Consolidated!J106</f>
        <v>0.12278405546696353</v>
      </c>
      <c r="J9" s="840">
        <f>'MECC-S'!G133/Consolidated!J106</f>
        <v>0.21755362713419091</v>
      </c>
      <c r="K9" s="54">
        <f>'MECC-L'!G130/Consolidated!J106</f>
        <v>7.3511271269087339E-2</v>
      </c>
      <c r="L9" s="843"/>
    </row>
    <row r="10" spans="1:12" ht="27" customHeight="1" x14ac:dyDescent="0.25">
      <c r="A10" s="68" t="s">
        <v>57</v>
      </c>
      <c r="B10" s="52">
        <f>'DSPR- J'!G145/Consolidated!J107</f>
        <v>2.6058295224779548E-2</v>
      </c>
      <c r="C10" s="53">
        <f>'DSPR-L'!G143/Consolidated!J107</f>
        <v>0.13613089026635938</v>
      </c>
      <c r="D10" s="53">
        <f>'HEKS-L'!G139/Consolidated!J107</f>
        <v>0</v>
      </c>
      <c r="E10" s="53">
        <f>'IOCC-J'!G143/Consolidated!J107</f>
        <v>9.6928638687619209E-2</v>
      </c>
      <c r="F10" s="840">
        <f>'IOCC-L'!G91/Consolidated!J107</f>
        <v>2.2616682360444489E-2</v>
      </c>
      <c r="G10" s="840">
        <f>'IOCC-S'!G115/Consolidated!J107</f>
        <v>0.27463114294825441</v>
      </c>
      <c r="H10" s="840">
        <f>'LWF-J'!G164/Consolidated!J107</f>
        <v>8.0179369922398613E-3</v>
      </c>
      <c r="I10" s="840">
        <f>'LWF-S'!G128/Consolidated!J107</f>
        <v>4.3055426835445228E-2</v>
      </c>
      <c r="J10" s="840">
        <f>'MECC-S'!G139/Consolidated!J107</f>
        <v>5.0079796655269924E-2</v>
      </c>
      <c r="K10" s="54">
        <f>'MECC-L'!G136/Consolidated!J107</f>
        <v>0.34248119002958788</v>
      </c>
      <c r="L10" s="843"/>
    </row>
    <row r="11" spans="1:12" ht="27" customHeight="1" x14ac:dyDescent="0.25">
      <c r="A11" s="68" t="s">
        <v>74</v>
      </c>
      <c r="B11" s="52">
        <f>'DSPR- J'!G152/Consolidated!J108</f>
        <v>1</v>
      </c>
      <c r="C11" s="53">
        <f>'DSPR-L'!G150/Consolidated!J108</f>
        <v>0</v>
      </c>
      <c r="D11" s="53">
        <f>'HEKS-L'!G145/Consolidated!J108</f>
        <v>0</v>
      </c>
      <c r="E11" s="53">
        <f>'IOCC-J'!G146/Consolidated!J108</f>
        <v>0</v>
      </c>
      <c r="F11" s="840">
        <f>'IOCC-L'!G97/Consolidated!J108</f>
        <v>0</v>
      </c>
      <c r="G11" s="840">
        <f>'IOCC-S'!G118/Consolidated!J108</f>
        <v>0</v>
      </c>
      <c r="H11" s="840">
        <f>'LWF-J'!G170/Consolidated!J108</f>
        <v>0</v>
      </c>
      <c r="I11" s="840">
        <f>'LWF-S'!G131/Consolidated!J108</f>
        <v>0</v>
      </c>
      <c r="J11" s="840">
        <f>'MECC-S'!G145/Consolidated!J108</f>
        <v>0</v>
      </c>
      <c r="K11" s="54">
        <f>'MECC-L'!G142/Consolidated!J108</f>
        <v>0</v>
      </c>
      <c r="L11" s="843"/>
    </row>
    <row r="12" spans="1:12" ht="27" customHeight="1" x14ac:dyDescent="0.25">
      <c r="A12" s="69" t="s">
        <v>75</v>
      </c>
      <c r="B12" s="52"/>
      <c r="C12" s="53"/>
      <c r="D12" s="53"/>
      <c r="E12" s="53"/>
      <c r="F12" s="840"/>
      <c r="G12" s="840"/>
      <c r="H12" s="840"/>
      <c r="I12" s="840"/>
      <c r="J12" s="840"/>
      <c r="K12" s="54"/>
      <c r="L12" s="843"/>
    </row>
    <row r="13" spans="1:12" ht="27" customHeight="1" thickBot="1" x14ac:dyDescent="0.3">
      <c r="A13" s="70" t="s">
        <v>76</v>
      </c>
      <c r="B13" s="55"/>
      <c r="C13" s="56"/>
      <c r="D13" s="53"/>
      <c r="E13" s="56"/>
      <c r="F13" s="841"/>
      <c r="G13" s="841"/>
      <c r="H13" s="841"/>
      <c r="I13" s="841"/>
      <c r="J13" s="841"/>
      <c r="K13" s="57"/>
      <c r="L13" s="843"/>
    </row>
    <row r="14" spans="1:12" ht="27" customHeight="1" thickBot="1" x14ac:dyDescent="0.3">
      <c r="A14" s="47"/>
    </row>
    <row r="15" spans="1:12" ht="40.5" customHeight="1" x14ac:dyDescent="0.25">
      <c r="A15" s="47"/>
      <c r="B15" s="852" t="s">
        <v>197</v>
      </c>
      <c r="C15" s="853"/>
      <c r="D15" s="853"/>
      <c r="E15" s="853"/>
      <c r="F15" s="854"/>
      <c r="G15" s="854"/>
      <c r="H15" s="854"/>
      <c r="I15" s="854"/>
      <c r="J15" s="854"/>
      <c r="K15" s="855"/>
    </row>
    <row r="16" spans="1:12" ht="27" customHeight="1" thickBot="1" x14ac:dyDescent="0.3">
      <c r="B16" s="64" t="s">
        <v>945</v>
      </c>
      <c r="C16" s="65" t="s">
        <v>946</v>
      </c>
      <c r="D16" s="65" t="s">
        <v>947</v>
      </c>
      <c r="E16" s="65" t="s">
        <v>948</v>
      </c>
      <c r="F16" s="838" t="s">
        <v>950</v>
      </c>
      <c r="G16" s="66" t="s">
        <v>949</v>
      </c>
      <c r="H16" s="838" t="s">
        <v>951</v>
      </c>
      <c r="I16" s="838" t="s">
        <v>952</v>
      </c>
      <c r="J16" s="838" t="s">
        <v>954</v>
      </c>
      <c r="K16" s="66" t="s">
        <v>953</v>
      </c>
    </row>
    <row r="17" spans="2:11" ht="27" customHeight="1" thickBot="1" x14ac:dyDescent="0.3">
      <c r="B17" s="58">
        <f>'DSPR- J'!G260/Consolidated!J199</f>
        <v>0.12973406414200139</v>
      </c>
      <c r="C17" s="59">
        <f>'DSPR-L'!G260/Consolidated!J199</f>
        <v>4.9953419190367741E-2</v>
      </c>
      <c r="D17" s="59">
        <f>'HEKS-L'!G255/Consolidated!J199</f>
        <v>2.6019526982050803E-2</v>
      </c>
      <c r="E17" s="59">
        <f>'IOCC-J'!G262/Consolidated!J199</f>
        <v>8.9276728768510075E-2</v>
      </c>
      <c r="F17" s="842">
        <f>'IOCC-L'!G224/Consolidated!J199</f>
        <v>4.4876587539897365E-2</v>
      </c>
      <c r="G17" s="842">
        <f>'IOCC-S'!G215/Consolidated!J199</f>
        <v>0.15849341007251194</v>
      </c>
      <c r="H17" s="842">
        <f>'LWF-J'!G282/Consolidated!J199</f>
        <v>9.7688482453987924E-2</v>
      </c>
      <c r="I17" s="842">
        <f>'LWF-S'!G243/Consolidated!J199</f>
        <v>0.19273518346635429</v>
      </c>
      <c r="J17" s="842">
        <f>'MECC-S'!G259/Consolidated!J199</f>
        <v>9.2402166050873952E-2</v>
      </c>
      <c r="K17" s="60">
        <f>'MECC-L'!G256/Consolidated!J199</f>
        <v>0.1188204313334444</v>
      </c>
    </row>
  </sheetData>
  <mergeCells count="2">
    <mergeCell ref="B15:K15"/>
    <mergeCell ref="A2:K2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81"/>
  <sheetViews>
    <sheetView view="pageBreakPreview" zoomScaleNormal="100" zoomScaleSheetLayoutView="100" workbookViewId="0">
      <pane ySplit="14" topLeftCell="A245" activePane="bottomLeft" state="frozen"/>
      <selection pane="bottomLeft" activeCell="G236" sqref="G236"/>
    </sheetView>
  </sheetViews>
  <sheetFormatPr defaultColWidth="11.44140625" defaultRowHeight="13.2" x14ac:dyDescent="0.25"/>
  <cols>
    <col min="1" max="1" width="6.33203125" style="74" customWidth="1"/>
    <col min="2" max="2" width="55.88671875" style="35" customWidth="1"/>
    <col min="3" max="3" width="11.33203125" style="267" customWidth="1"/>
    <col min="4" max="4" width="10.44140625" style="266" bestFit="1" customWidth="1"/>
    <col min="5" max="5" width="12.109375" style="265" customWidth="1"/>
    <col min="6" max="6" width="12.88671875" style="265" customWidth="1"/>
    <col min="7" max="7" width="12.5546875" style="35" bestFit="1" customWidth="1"/>
    <col min="8" max="17" width="10.109375" style="35" hidden="1" customWidth="1"/>
    <col min="18" max="19" width="14.33203125" style="35" hidden="1" customWidth="1"/>
    <col min="20" max="24" width="10.109375" style="35" hidden="1" customWidth="1"/>
    <col min="25" max="25" width="18.33203125" style="35" customWidth="1"/>
    <col min="26" max="16384" width="11.44140625" style="35"/>
  </cols>
  <sheetData>
    <row r="1" spans="1:27" x14ac:dyDescent="0.25">
      <c r="A1" s="860" t="s">
        <v>66</v>
      </c>
      <c r="B1" s="845"/>
      <c r="C1" s="845"/>
      <c r="D1" s="845"/>
      <c r="E1" s="845"/>
      <c r="F1" s="845"/>
      <c r="G1" s="846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7" x14ac:dyDescent="0.25">
      <c r="A2" s="376"/>
      <c r="B2" s="72"/>
      <c r="C2" s="72"/>
      <c r="D2" s="72"/>
      <c r="E2" s="72"/>
      <c r="F2" s="72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7" x14ac:dyDescent="0.25">
      <c r="A3" s="74" t="s">
        <v>10</v>
      </c>
      <c r="F3" s="268"/>
    </row>
    <row r="4" spans="1:27" x14ac:dyDescent="0.25">
      <c r="B4" s="79" t="s">
        <v>25</v>
      </c>
      <c r="C4" s="396">
        <v>1.41</v>
      </c>
      <c r="F4" s="268"/>
      <c r="Y4" s="81"/>
    </row>
    <row r="5" spans="1:27" x14ac:dyDescent="0.25">
      <c r="B5" s="82" t="s">
        <v>172</v>
      </c>
      <c r="F5" s="268"/>
    </row>
    <row r="6" spans="1:27" x14ac:dyDescent="0.25">
      <c r="B6" s="83"/>
    </row>
    <row r="7" spans="1:27" x14ac:dyDescent="0.25">
      <c r="A7" s="74" t="s">
        <v>23</v>
      </c>
      <c r="C7" s="319" t="s">
        <v>392</v>
      </c>
    </row>
    <row r="8" spans="1:27" x14ac:dyDescent="0.25">
      <c r="A8" s="74" t="s">
        <v>67</v>
      </c>
      <c r="C8" s="83" t="s">
        <v>391</v>
      </c>
    </row>
    <row r="9" spans="1:27" x14ac:dyDescent="0.25">
      <c r="A9" s="74" t="s">
        <v>68</v>
      </c>
      <c r="C9" s="113" t="str">
        <f>Consolidated!C9</f>
        <v xml:space="preserve">Humanitarian Response for People Affected by the Syrian Conflict </v>
      </c>
    </row>
    <row r="10" spans="1:27" x14ac:dyDescent="0.25">
      <c r="A10" s="74" t="s">
        <v>56</v>
      </c>
      <c r="C10" s="267" t="str">
        <f>Consolidated!C10</f>
        <v>January 1st 2019-December 31st 2019</v>
      </c>
    </row>
    <row r="11" spans="1:27" hidden="1" x14ac:dyDescent="0.25">
      <c r="B11" s="74"/>
      <c r="C11" s="358"/>
      <c r="D11" s="357"/>
      <c r="E11" s="376"/>
      <c r="F11" s="374" t="s">
        <v>69</v>
      </c>
      <c r="G11" s="374" t="s">
        <v>69</v>
      </c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88"/>
      <c r="Z11" s="88"/>
      <c r="AA11" s="88"/>
    </row>
    <row r="12" spans="1:27" hidden="1" x14ac:dyDescent="0.25">
      <c r="B12" s="74"/>
      <c r="C12" s="358"/>
      <c r="D12" s="357"/>
      <c r="E12" s="376"/>
      <c r="F12" s="374" t="s">
        <v>5</v>
      </c>
      <c r="G12" s="374" t="s">
        <v>5</v>
      </c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88"/>
      <c r="Z12" s="88"/>
      <c r="AA12" s="88"/>
    </row>
    <row r="13" spans="1:27" hidden="1" x14ac:dyDescent="0.25">
      <c r="A13" s="89" t="s">
        <v>47</v>
      </c>
      <c r="C13" s="358"/>
      <c r="D13" s="357"/>
      <c r="E13" s="356"/>
      <c r="F13" s="356" t="s">
        <v>20</v>
      </c>
      <c r="G13" s="91" t="s">
        <v>4</v>
      </c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88"/>
      <c r="Z13" s="88"/>
      <c r="AA13" s="88"/>
    </row>
    <row r="14" spans="1:27" s="93" customFormat="1" hidden="1" x14ac:dyDescent="0.25">
      <c r="A14" s="92"/>
      <c r="C14" s="394"/>
      <c r="D14" s="393"/>
      <c r="E14" s="392"/>
      <c r="F14" s="392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</row>
    <row r="15" spans="1:27" s="1" customFormat="1" hidden="1" x14ac:dyDescent="0.25">
      <c r="A15" s="98"/>
      <c r="C15" s="391"/>
      <c r="D15" s="390"/>
      <c r="E15" s="389"/>
      <c r="F15" s="389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</row>
    <row r="16" spans="1:27" s="107" customFormat="1" hidden="1" x14ac:dyDescent="0.25">
      <c r="A16" s="103" t="s">
        <v>21</v>
      </c>
      <c r="B16" s="39"/>
      <c r="C16" s="384"/>
      <c r="D16" s="383"/>
      <c r="E16" s="382"/>
      <c r="F16" s="320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s="107" customFormat="1" hidden="1" x14ac:dyDescent="0.25">
      <c r="A17" s="103" t="s">
        <v>32</v>
      </c>
      <c r="B17" s="108" t="s">
        <v>33</v>
      </c>
      <c r="C17" s="103" t="s">
        <v>174</v>
      </c>
      <c r="D17" s="103" t="s">
        <v>65</v>
      </c>
      <c r="E17" s="382"/>
      <c r="F17" s="320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9"/>
      <c r="Z17" s="39"/>
    </row>
    <row r="18" spans="1:26" s="107" customFormat="1" hidden="1" x14ac:dyDescent="0.25">
      <c r="A18" s="109"/>
      <c r="B18" s="110"/>
      <c r="C18" s="326" t="s">
        <v>175</v>
      </c>
      <c r="D18" s="388"/>
      <c r="E18" s="382"/>
      <c r="F18" s="385">
        <v>0</v>
      </c>
      <c r="G18" s="326">
        <f>F18*C4</f>
        <v>0</v>
      </c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9"/>
      <c r="Z18" s="39"/>
    </row>
    <row r="19" spans="1:26" s="107" customFormat="1" hidden="1" x14ac:dyDescent="0.25">
      <c r="A19" s="109"/>
      <c r="B19" s="110"/>
      <c r="C19" s="326" t="s">
        <v>176</v>
      </c>
      <c r="D19" s="388"/>
      <c r="E19" s="382"/>
      <c r="F19" s="385">
        <v>0</v>
      </c>
      <c r="G19" s="326">
        <f>F19*C4</f>
        <v>0</v>
      </c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9"/>
      <c r="Z19" s="39"/>
    </row>
    <row r="20" spans="1:26" s="107" customFormat="1" hidden="1" x14ac:dyDescent="0.25">
      <c r="A20" s="109"/>
      <c r="B20" s="110"/>
      <c r="C20" s="326" t="s">
        <v>177</v>
      </c>
      <c r="D20" s="388"/>
      <c r="E20" s="382"/>
      <c r="F20" s="385">
        <v>0</v>
      </c>
      <c r="G20" s="326">
        <f>F20*C4</f>
        <v>0</v>
      </c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9"/>
      <c r="Z20" s="39"/>
    </row>
    <row r="21" spans="1:26" s="107" customFormat="1" hidden="1" x14ac:dyDescent="0.25">
      <c r="A21" s="109"/>
      <c r="B21" s="110"/>
      <c r="C21" s="326" t="s">
        <v>178</v>
      </c>
      <c r="D21" s="388"/>
      <c r="E21" s="382"/>
      <c r="F21" s="385">
        <v>0</v>
      </c>
      <c r="G21" s="326">
        <f>F21*C4</f>
        <v>0</v>
      </c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9"/>
      <c r="Z21" s="39"/>
    </row>
    <row r="22" spans="1:26" s="107" customFormat="1" hidden="1" x14ac:dyDescent="0.25">
      <c r="A22" s="109"/>
      <c r="B22" s="110"/>
      <c r="C22" s="326" t="s">
        <v>179</v>
      </c>
      <c r="D22" s="388"/>
      <c r="E22" s="382"/>
      <c r="F22" s="385">
        <v>0</v>
      </c>
      <c r="G22" s="326">
        <f>F22*C4</f>
        <v>0</v>
      </c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9"/>
      <c r="Z22" s="39"/>
    </row>
    <row r="23" spans="1:26" s="107" customFormat="1" hidden="1" x14ac:dyDescent="0.25">
      <c r="A23" s="109"/>
      <c r="B23" s="110"/>
      <c r="C23" s="326" t="s">
        <v>180</v>
      </c>
      <c r="D23" s="388"/>
      <c r="E23" s="382"/>
      <c r="F23" s="385">
        <v>0</v>
      </c>
      <c r="G23" s="326">
        <f>F23*C4</f>
        <v>0</v>
      </c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9"/>
      <c r="Z23" s="39"/>
    </row>
    <row r="24" spans="1:26" s="107" customFormat="1" hidden="1" x14ac:dyDescent="0.25">
      <c r="A24" s="109"/>
      <c r="B24" s="110"/>
      <c r="C24" s="326" t="s">
        <v>181</v>
      </c>
      <c r="D24" s="388"/>
      <c r="E24" s="382"/>
      <c r="F24" s="385">
        <v>0</v>
      </c>
      <c r="G24" s="326">
        <f>F24*C4</f>
        <v>0</v>
      </c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9"/>
      <c r="Z24" s="39"/>
    </row>
    <row r="25" spans="1:26" s="107" customFormat="1" hidden="1" x14ac:dyDescent="0.25">
      <c r="A25" s="109"/>
      <c r="B25" s="110"/>
      <c r="C25" s="326" t="s">
        <v>182</v>
      </c>
      <c r="D25" s="388"/>
      <c r="E25" s="382"/>
      <c r="F25" s="385">
        <v>0</v>
      </c>
      <c r="G25" s="326">
        <f>F25*C4</f>
        <v>0</v>
      </c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9"/>
      <c r="Z25" s="39"/>
    </row>
    <row r="26" spans="1:26" s="107" customFormat="1" hidden="1" x14ac:dyDescent="0.25">
      <c r="A26" s="109"/>
      <c r="B26" s="110"/>
      <c r="C26" s="326" t="s">
        <v>183</v>
      </c>
      <c r="D26" s="388"/>
      <c r="E26" s="382"/>
      <c r="F26" s="385">
        <v>0</v>
      </c>
      <c r="G26" s="326">
        <f>F26*C4</f>
        <v>0</v>
      </c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9"/>
      <c r="Z26" s="39"/>
    </row>
    <row r="27" spans="1:26" s="107" customFormat="1" hidden="1" x14ac:dyDescent="0.25">
      <c r="A27" s="109"/>
      <c r="B27" s="110"/>
      <c r="C27" s="326" t="s">
        <v>184</v>
      </c>
      <c r="D27" s="388"/>
      <c r="E27" s="382"/>
      <c r="F27" s="385">
        <v>0</v>
      </c>
      <c r="G27" s="326">
        <f>F27*C4</f>
        <v>0</v>
      </c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9"/>
      <c r="Z27" s="39"/>
    </row>
    <row r="28" spans="1:26" s="107" customFormat="1" hidden="1" x14ac:dyDescent="0.25">
      <c r="A28" s="103"/>
      <c r="B28" s="108" t="s">
        <v>173</v>
      </c>
      <c r="C28" s="384"/>
      <c r="D28" s="383"/>
      <c r="E28" s="382"/>
      <c r="F28" s="326">
        <f>SUM(F18:F27)</f>
        <v>0</v>
      </c>
      <c r="G28" s="326">
        <f>SUM(G18:G27)</f>
        <v>0</v>
      </c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9"/>
      <c r="Z28" s="39"/>
    </row>
    <row r="29" spans="1:26" s="107" customFormat="1" hidden="1" x14ac:dyDescent="0.25">
      <c r="A29" s="103"/>
      <c r="B29" s="113"/>
      <c r="C29" s="384"/>
      <c r="D29" s="383"/>
      <c r="E29" s="382"/>
      <c r="F29" s="320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9"/>
      <c r="Z29" s="39"/>
    </row>
    <row r="30" spans="1:26" s="107" customFormat="1" hidden="1" x14ac:dyDescent="0.25">
      <c r="A30" s="103" t="s">
        <v>34</v>
      </c>
      <c r="B30" s="39"/>
      <c r="C30" s="384"/>
      <c r="D30" s="383"/>
      <c r="E30" s="382"/>
      <c r="F30" s="320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9"/>
      <c r="Z30" s="39"/>
    </row>
    <row r="31" spans="1:26" s="107" customFormat="1" hidden="1" x14ac:dyDescent="0.25">
      <c r="A31" s="103" t="s">
        <v>32</v>
      </c>
      <c r="B31" s="108" t="s">
        <v>33</v>
      </c>
      <c r="C31" s="384" t="s">
        <v>174</v>
      </c>
      <c r="D31" s="383"/>
      <c r="E31" s="382"/>
      <c r="F31" s="320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9"/>
      <c r="Z31" s="39"/>
    </row>
    <row r="32" spans="1:26" s="107" customFormat="1" hidden="1" x14ac:dyDescent="0.25">
      <c r="A32" s="114"/>
      <c r="B32" s="110"/>
      <c r="C32" s="386"/>
      <c r="D32" s="383"/>
      <c r="E32" s="382"/>
      <c r="F32" s="385">
        <v>0</v>
      </c>
      <c r="G32" s="326">
        <f>(C4)*F32</f>
        <v>0</v>
      </c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9"/>
      <c r="Z32" s="39"/>
    </row>
    <row r="33" spans="1:26" s="107" customFormat="1" hidden="1" x14ac:dyDescent="0.25">
      <c r="A33" s="114"/>
      <c r="B33" s="110"/>
      <c r="C33" s="386"/>
      <c r="D33" s="383"/>
      <c r="E33" s="382"/>
      <c r="F33" s="385">
        <v>0</v>
      </c>
      <c r="G33" s="326">
        <f>F33*C4</f>
        <v>0</v>
      </c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9"/>
      <c r="Z33" s="39"/>
    </row>
    <row r="34" spans="1:26" s="107" customFormat="1" hidden="1" x14ac:dyDescent="0.25">
      <c r="A34" s="114"/>
      <c r="B34" s="110"/>
      <c r="C34" s="386"/>
      <c r="D34" s="383"/>
      <c r="E34" s="382"/>
      <c r="F34" s="385">
        <v>0</v>
      </c>
      <c r="G34" s="326">
        <f>F34*C4</f>
        <v>0</v>
      </c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9"/>
      <c r="Z34" s="39"/>
    </row>
    <row r="35" spans="1:26" s="107" customFormat="1" hidden="1" x14ac:dyDescent="0.25">
      <c r="A35" s="114"/>
      <c r="B35" s="110"/>
      <c r="C35" s="386"/>
      <c r="D35" s="383"/>
      <c r="E35" s="382"/>
      <c r="F35" s="385">
        <v>0</v>
      </c>
      <c r="G35" s="326">
        <f>F35*C4</f>
        <v>0</v>
      </c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9"/>
      <c r="Z35" s="39"/>
    </row>
    <row r="36" spans="1:26" s="107" customFormat="1" hidden="1" x14ac:dyDescent="0.25">
      <c r="A36" s="114"/>
      <c r="B36" s="110"/>
      <c r="C36" s="386"/>
      <c r="D36" s="383"/>
      <c r="E36" s="382"/>
      <c r="F36" s="385">
        <v>0</v>
      </c>
      <c r="G36" s="326">
        <f>F36*C4</f>
        <v>0</v>
      </c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9"/>
      <c r="Z36" s="39"/>
    </row>
    <row r="37" spans="1:26" s="107" customFormat="1" hidden="1" x14ac:dyDescent="0.25">
      <c r="A37" s="114"/>
      <c r="B37" s="110"/>
      <c r="C37" s="386"/>
      <c r="D37" s="383"/>
      <c r="E37" s="382"/>
      <c r="F37" s="385">
        <v>0</v>
      </c>
      <c r="G37" s="326">
        <f>F37*C4</f>
        <v>0</v>
      </c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9"/>
      <c r="Z37" s="39"/>
    </row>
    <row r="38" spans="1:26" s="107" customFormat="1" hidden="1" x14ac:dyDescent="0.25">
      <c r="A38" s="114"/>
      <c r="B38" s="110"/>
      <c r="C38" s="386"/>
      <c r="D38" s="383"/>
      <c r="E38" s="382"/>
      <c r="F38" s="385">
        <v>0</v>
      </c>
      <c r="G38" s="326">
        <f>F38*C4</f>
        <v>0</v>
      </c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9"/>
      <c r="Z38" s="39"/>
    </row>
    <row r="39" spans="1:26" s="107" customFormat="1" hidden="1" x14ac:dyDescent="0.25">
      <c r="A39" s="114"/>
      <c r="B39" s="110"/>
      <c r="C39" s="386"/>
      <c r="D39" s="383"/>
      <c r="E39" s="382"/>
      <c r="F39" s="385">
        <v>0</v>
      </c>
      <c r="G39" s="326">
        <f>F39*C4</f>
        <v>0</v>
      </c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9"/>
      <c r="Z39" s="39"/>
    </row>
    <row r="40" spans="1:26" s="107" customFormat="1" hidden="1" x14ac:dyDescent="0.25">
      <c r="A40" s="114"/>
      <c r="B40" s="110"/>
      <c r="C40" s="386"/>
      <c r="D40" s="383"/>
      <c r="E40" s="382"/>
      <c r="F40" s="385">
        <v>0</v>
      </c>
      <c r="G40" s="326">
        <f>F40*C4</f>
        <v>0</v>
      </c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9"/>
      <c r="Z40" s="39"/>
    </row>
    <row r="41" spans="1:26" s="107" customFormat="1" hidden="1" x14ac:dyDescent="0.25">
      <c r="A41" s="114"/>
      <c r="B41" s="110"/>
      <c r="C41" s="386"/>
      <c r="D41" s="383"/>
      <c r="E41" s="382"/>
      <c r="F41" s="385">
        <v>0</v>
      </c>
      <c r="G41" s="326">
        <f>F41*C4</f>
        <v>0</v>
      </c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9"/>
      <c r="Z41" s="39"/>
    </row>
    <row r="42" spans="1:26" s="107" customFormat="1" hidden="1" x14ac:dyDescent="0.25">
      <c r="A42" s="103"/>
      <c r="B42" s="108" t="s">
        <v>173</v>
      </c>
      <c r="C42" s="384"/>
      <c r="D42" s="383"/>
      <c r="E42" s="382"/>
      <c r="F42" s="326">
        <f>SUM(F32:F41)</f>
        <v>0</v>
      </c>
      <c r="G42" s="326">
        <f>SUM(G32:G41)</f>
        <v>0</v>
      </c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9"/>
      <c r="Z42" s="39"/>
    </row>
    <row r="43" spans="1:26" s="107" customFormat="1" hidden="1" x14ac:dyDescent="0.25">
      <c r="A43" s="103"/>
      <c r="B43" s="103" t="s">
        <v>64</v>
      </c>
      <c r="C43" s="384"/>
      <c r="D43" s="383"/>
      <c r="E43" s="382"/>
      <c r="F43" s="387">
        <v>0</v>
      </c>
      <c r="G43" s="326">
        <f>F43*C4</f>
        <v>0</v>
      </c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9"/>
      <c r="Z43" s="39"/>
    </row>
    <row r="44" spans="1:26" s="107" customFormat="1" hidden="1" x14ac:dyDescent="0.25">
      <c r="A44" s="103"/>
      <c r="B44" s="39"/>
      <c r="C44" s="384"/>
      <c r="D44" s="383"/>
      <c r="E44" s="382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9"/>
      <c r="Z44" s="39"/>
    </row>
    <row r="45" spans="1:26" s="107" customFormat="1" hidden="1" x14ac:dyDescent="0.25">
      <c r="A45" s="103" t="s">
        <v>35</v>
      </c>
      <c r="B45" s="39"/>
      <c r="C45" s="384"/>
      <c r="D45" s="383"/>
      <c r="E45" s="382"/>
      <c r="F45" s="320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9"/>
      <c r="Z45" s="39"/>
    </row>
    <row r="46" spans="1:26" s="107" customFormat="1" hidden="1" x14ac:dyDescent="0.25">
      <c r="A46" s="103" t="s">
        <v>32</v>
      </c>
      <c r="B46" s="108" t="s">
        <v>33</v>
      </c>
      <c r="C46" s="384" t="s">
        <v>174</v>
      </c>
      <c r="D46" s="383"/>
      <c r="E46" s="382"/>
      <c r="F46" s="320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9"/>
      <c r="Z46" s="39"/>
    </row>
    <row r="47" spans="1:26" s="107" customFormat="1" hidden="1" x14ac:dyDescent="0.25">
      <c r="A47" s="114"/>
      <c r="B47" s="110"/>
      <c r="C47" s="386"/>
      <c r="D47" s="383"/>
      <c r="E47" s="382"/>
      <c r="F47" s="385">
        <v>0</v>
      </c>
      <c r="G47" s="326">
        <f>F47*C4</f>
        <v>0</v>
      </c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9"/>
      <c r="Z47" s="39"/>
    </row>
    <row r="48" spans="1:26" s="107" customFormat="1" hidden="1" x14ac:dyDescent="0.25">
      <c r="A48" s="114"/>
      <c r="B48" s="110"/>
      <c r="C48" s="386"/>
      <c r="D48" s="383"/>
      <c r="E48" s="382"/>
      <c r="F48" s="385">
        <v>0</v>
      </c>
      <c r="G48" s="326">
        <f>F48*C4</f>
        <v>0</v>
      </c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9"/>
      <c r="Z48" s="39"/>
    </row>
    <row r="49" spans="1:26" s="107" customFormat="1" hidden="1" x14ac:dyDescent="0.25">
      <c r="A49" s="114"/>
      <c r="B49" s="110"/>
      <c r="C49" s="386"/>
      <c r="D49" s="383"/>
      <c r="E49" s="382"/>
      <c r="F49" s="385">
        <v>0</v>
      </c>
      <c r="G49" s="326">
        <f>F49*C4</f>
        <v>0</v>
      </c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9"/>
      <c r="Z49" s="39"/>
    </row>
    <row r="50" spans="1:26" s="107" customFormat="1" hidden="1" x14ac:dyDescent="0.25">
      <c r="A50" s="114"/>
      <c r="B50" s="110"/>
      <c r="C50" s="386"/>
      <c r="D50" s="383"/>
      <c r="E50" s="382"/>
      <c r="F50" s="385">
        <v>0</v>
      </c>
      <c r="G50" s="326">
        <f>F50*C4</f>
        <v>0</v>
      </c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9"/>
      <c r="Z50" s="39"/>
    </row>
    <row r="51" spans="1:26" s="107" customFormat="1" hidden="1" x14ac:dyDescent="0.25">
      <c r="A51" s="114"/>
      <c r="B51" s="110"/>
      <c r="C51" s="386"/>
      <c r="D51" s="383"/>
      <c r="E51" s="382"/>
      <c r="F51" s="385">
        <v>0</v>
      </c>
      <c r="G51" s="326">
        <f>F51*C4</f>
        <v>0</v>
      </c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9"/>
      <c r="Z51" s="39"/>
    </row>
    <row r="52" spans="1:26" s="107" customFormat="1" hidden="1" x14ac:dyDescent="0.25">
      <c r="A52" s="114"/>
      <c r="B52" s="110"/>
      <c r="C52" s="386"/>
      <c r="D52" s="383"/>
      <c r="E52" s="382"/>
      <c r="F52" s="385">
        <v>0</v>
      </c>
      <c r="G52" s="326">
        <f>F52*C4</f>
        <v>0</v>
      </c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9"/>
      <c r="Z52" s="39"/>
    </row>
    <row r="53" spans="1:26" s="107" customFormat="1" hidden="1" x14ac:dyDescent="0.25">
      <c r="A53" s="114"/>
      <c r="B53" s="110"/>
      <c r="C53" s="386"/>
      <c r="D53" s="383"/>
      <c r="E53" s="382"/>
      <c r="F53" s="385">
        <v>0</v>
      </c>
      <c r="G53" s="326">
        <f>F53*C4</f>
        <v>0</v>
      </c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9"/>
      <c r="Z53" s="39"/>
    </row>
    <row r="54" spans="1:26" s="107" customFormat="1" hidden="1" x14ac:dyDescent="0.25">
      <c r="A54" s="114"/>
      <c r="B54" s="110"/>
      <c r="C54" s="386"/>
      <c r="D54" s="383"/>
      <c r="E54" s="382"/>
      <c r="F54" s="385">
        <v>0</v>
      </c>
      <c r="G54" s="326">
        <f>F54*C4</f>
        <v>0</v>
      </c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9"/>
      <c r="Z54" s="39"/>
    </row>
    <row r="55" spans="1:26" s="107" customFormat="1" hidden="1" x14ac:dyDescent="0.25">
      <c r="A55" s="114"/>
      <c r="B55" s="110"/>
      <c r="C55" s="386"/>
      <c r="D55" s="383"/>
      <c r="E55" s="382"/>
      <c r="F55" s="385">
        <v>0</v>
      </c>
      <c r="G55" s="326">
        <f>F55*C4</f>
        <v>0</v>
      </c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9"/>
      <c r="Z55" s="39"/>
    </row>
    <row r="56" spans="1:26" s="107" customFormat="1" hidden="1" x14ac:dyDescent="0.25">
      <c r="A56" s="114"/>
      <c r="B56" s="110"/>
      <c r="C56" s="386"/>
      <c r="D56" s="383"/>
      <c r="E56" s="382"/>
      <c r="F56" s="385">
        <v>0</v>
      </c>
      <c r="G56" s="326">
        <f>F56*C4</f>
        <v>0</v>
      </c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9"/>
      <c r="Z56" s="39"/>
    </row>
    <row r="57" spans="1:26" s="107" customFormat="1" hidden="1" x14ac:dyDescent="0.25">
      <c r="A57" s="103"/>
      <c r="B57" s="108" t="s">
        <v>173</v>
      </c>
      <c r="C57" s="384"/>
      <c r="D57" s="383"/>
      <c r="E57" s="382"/>
      <c r="F57" s="371">
        <f>SUM(F47:F56)</f>
        <v>0</v>
      </c>
      <c r="G57" s="326">
        <f>SUM(G47:G56)</f>
        <v>0</v>
      </c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9"/>
      <c r="Z57" s="39"/>
    </row>
    <row r="58" spans="1:26" s="107" customFormat="1" hidden="1" x14ac:dyDescent="0.25">
      <c r="A58" s="103"/>
      <c r="B58" s="39"/>
      <c r="C58" s="384"/>
      <c r="D58" s="383"/>
      <c r="E58" s="382"/>
      <c r="F58" s="320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  <c r="T58" s="326"/>
      <c r="U58" s="326"/>
      <c r="V58" s="326"/>
      <c r="W58" s="326"/>
      <c r="X58" s="326"/>
      <c r="Y58" s="39"/>
      <c r="Z58" s="39"/>
    </row>
    <row r="59" spans="1:26" s="107" customFormat="1" hidden="1" x14ac:dyDescent="0.25">
      <c r="A59" s="103" t="s">
        <v>22</v>
      </c>
      <c r="B59" s="39"/>
      <c r="C59" s="384"/>
      <c r="D59" s="383"/>
      <c r="E59" s="382"/>
      <c r="F59" s="326"/>
      <c r="G59" s="326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  <c r="T59" s="326"/>
      <c r="U59" s="326"/>
      <c r="V59" s="326"/>
      <c r="W59" s="326"/>
      <c r="X59" s="326"/>
      <c r="Y59" s="39"/>
      <c r="Z59" s="39"/>
    </row>
    <row r="60" spans="1:26" s="107" customFormat="1" hidden="1" x14ac:dyDescent="0.25">
      <c r="A60" s="103" t="s">
        <v>32</v>
      </c>
      <c r="B60" s="108" t="s">
        <v>33</v>
      </c>
      <c r="C60" s="384" t="s">
        <v>174</v>
      </c>
      <c r="D60" s="383"/>
      <c r="E60" s="382"/>
      <c r="F60" s="320"/>
      <c r="G60" s="326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  <c r="T60" s="326"/>
      <c r="U60" s="326"/>
      <c r="V60" s="326"/>
      <c r="W60" s="326"/>
      <c r="X60" s="326"/>
      <c r="Y60" s="39"/>
      <c r="Z60" s="39"/>
    </row>
    <row r="61" spans="1:26" s="107" customFormat="1" hidden="1" x14ac:dyDescent="0.25">
      <c r="A61" s="114"/>
      <c r="B61" s="110"/>
      <c r="C61" s="386"/>
      <c r="D61" s="383"/>
      <c r="E61" s="382"/>
      <c r="F61" s="385">
        <v>0</v>
      </c>
      <c r="G61" s="326">
        <f>F61*C4</f>
        <v>0</v>
      </c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  <c r="T61" s="326"/>
      <c r="U61" s="326"/>
      <c r="V61" s="326"/>
      <c r="W61" s="326"/>
      <c r="X61" s="326"/>
      <c r="Y61" s="39"/>
      <c r="Z61" s="39"/>
    </row>
    <row r="62" spans="1:26" s="107" customFormat="1" hidden="1" x14ac:dyDescent="0.25">
      <c r="A62" s="114"/>
      <c r="B62" s="110"/>
      <c r="C62" s="386"/>
      <c r="D62" s="383"/>
      <c r="E62" s="382"/>
      <c r="F62" s="385">
        <v>0</v>
      </c>
      <c r="G62" s="326">
        <f>F62*C4</f>
        <v>0</v>
      </c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9"/>
      <c r="Z62" s="39"/>
    </row>
    <row r="63" spans="1:26" s="107" customFormat="1" hidden="1" x14ac:dyDescent="0.25">
      <c r="A63" s="114"/>
      <c r="B63" s="110"/>
      <c r="C63" s="386"/>
      <c r="D63" s="383"/>
      <c r="E63" s="382"/>
      <c r="F63" s="385">
        <v>0</v>
      </c>
      <c r="G63" s="326">
        <f>F63*C4</f>
        <v>0</v>
      </c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9"/>
      <c r="Z63" s="39"/>
    </row>
    <row r="64" spans="1:26" s="107" customFormat="1" hidden="1" x14ac:dyDescent="0.25">
      <c r="A64" s="114"/>
      <c r="B64" s="110"/>
      <c r="C64" s="386"/>
      <c r="D64" s="383"/>
      <c r="E64" s="382"/>
      <c r="F64" s="385">
        <v>0</v>
      </c>
      <c r="G64" s="326">
        <f>F64*C4</f>
        <v>0</v>
      </c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6"/>
      <c r="Y64" s="39"/>
      <c r="Z64" s="39"/>
    </row>
    <row r="65" spans="1:26" s="107" customFormat="1" hidden="1" x14ac:dyDescent="0.25">
      <c r="A65" s="114"/>
      <c r="B65" s="110"/>
      <c r="C65" s="386"/>
      <c r="D65" s="383"/>
      <c r="E65" s="382"/>
      <c r="F65" s="385">
        <v>0</v>
      </c>
      <c r="G65" s="326">
        <f>F65*C4</f>
        <v>0</v>
      </c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  <c r="T65" s="326"/>
      <c r="U65" s="326"/>
      <c r="V65" s="326"/>
      <c r="W65" s="326"/>
      <c r="X65" s="326"/>
      <c r="Y65" s="39"/>
      <c r="Z65" s="39"/>
    </row>
    <row r="66" spans="1:26" s="107" customFormat="1" hidden="1" x14ac:dyDescent="0.25">
      <c r="A66" s="114"/>
      <c r="B66" s="110"/>
      <c r="C66" s="386"/>
      <c r="D66" s="383"/>
      <c r="E66" s="382"/>
      <c r="F66" s="385">
        <v>0</v>
      </c>
      <c r="G66" s="326">
        <f>F66*C4</f>
        <v>0</v>
      </c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  <c r="T66" s="326"/>
      <c r="U66" s="326"/>
      <c r="V66" s="326"/>
      <c r="W66" s="326"/>
      <c r="X66" s="326"/>
      <c r="Y66" s="39"/>
      <c r="Z66" s="39"/>
    </row>
    <row r="67" spans="1:26" s="107" customFormat="1" hidden="1" x14ac:dyDescent="0.25">
      <c r="A67" s="114"/>
      <c r="B67" s="110"/>
      <c r="C67" s="386"/>
      <c r="D67" s="383"/>
      <c r="E67" s="382"/>
      <c r="F67" s="385">
        <v>0</v>
      </c>
      <c r="G67" s="326">
        <f>F67*C4</f>
        <v>0</v>
      </c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6"/>
      <c r="Y67" s="39"/>
      <c r="Z67" s="39"/>
    </row>
    <row r="68" spans="1:26" s="107" customFormat="1" hidden="1" x14ac:dyDescent="0.25">
      <c r="A68" s="114"/>
      <c r="B68" s="110"/>
      <c r="C68" s="386"/>
      <c r="D68" s="383"/>
      <c r="E68" s="382"/>
      <c r="F68" s="385">
        <v>0</v>
      </c>
      <c r="G68" s="326">
        <f>F68*C4</f>
        <v>0</v>
      </c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  <c r="T68" s="326"/>
      <c r="U68" s="326"/>
      <c r="V68" s="326"/>
      <c r="W68" s="326"/>
      <c r="X68" s="326"/>
      <c r="Y68" s="39"/>
      <c r="Z68" s="39"/>
    </row>
    <row r="69" spans="1:26" s="107" customFormat="1" hidden="1" x14ac:dyDescent="0.25">
      <c r="A69" s="114"/>
      <c r="B69" s="110"/>
      <c r="C69" s="386"/>
      <c r="D69" s="383"/>
      <c r="E69" s="382"/>
      <c r="F69" s="385">
        <v>0</v>
      </c>
      <c r="G69" s="326">
        <f>F69*C4</f>
        <v>0</v>
      </c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  <c r="T69" s="326"/>
      <c r="U69" s="326"/>
      <c r="V69" s="326"/>
      <c r="W69" s="326"/>
      <c r="X69" s="326"/>
      <c r="Y69" s="39"/>
      <c r="Z69" s="39"/>
    </row>
    <row r="70" spans="1:26" s="107" customFormat="1" hidden="1" x14ac:dyDescent="0.25">
      <c r="A70" s="114"/>
      <c r="B70" s="110"/>
      <c r="C70" s="386"/>
      <c r="D70" s="383"/>
      <c r="E70" s="382"/>
      <c r="F70" s="385">
        <v>0</v>
      </c>
      <c r="G70" s="326">
        <f>F70*C4</f>
        <v>0</v>
      </c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9"/>
      <c r="Z70" s="39"/>
    </row>
    <row r="71" spans="1:26" s="107" customFormat="1" hidden="1" x14ac:dyDescent="0.25">
      <c r="A71" s="103"/>
      <c r="B71" s="108" t="s">
        <v>173</v>
      </c>
      <c r="C71" s="384"/>
      <c r="D71" s="383"/>
      <c r="E71" s="382"/>
      <c r="F71" s="371">
        <f>SUM(F61:F70)</f>
        <v>0</v>
      </c>
      <c r="G71" s="326">
        <f>SUM(G61:G70)</f>
        <v>0</v>
      </c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  <c r="T71" s="326"/>
      <c r="U71" s="326"/>
      <c r="V71" s="326"/>
      <c r="W71" s="326"/>
      <c r="X71" s="326"/>
      <c r="Y71" s="39"/>
      <c r="Z71" s="39"/>
    </row>
    <row r="72" spans="1:26" s="107" customFormat="1" hidden="1" x14ac:dyDescent="0.25">
      <c r="A72" s="103"/>
      <c r="B72" s="39"/>
      <c r="C72" s="384"/>
      <c r="D72" s="383"/>
      <c r="E72" s="382"/>
      <c r="F72" s="320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s="107" customFormat="1" ht="13.8" hidden="1" thickBot="1" x14ac:dyDescent="0.3">
      <c r="A73" s="117" t="s">
        <v>3</v>
      </c>
      <c r="B73" s="117"/>
      <c r="C73" s="282"/>
      <c r="D73" s="381"/>
      <c r="E73" s="380"/>
      <c r="F73" s="279">
        <f>SUM(F28+F42+F43+F57+F71)</f>
        <v>0</v>
      </c>
      <c r="G73" s="279">
        <f>SUM(G28+G42+G43+G57+G71)</f>
        <v>0</v>
      </c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39"/>
      <c r="Z73" s="39"/>
    </row>
    <row r="74" spans="1:26" s="107" customFormat="1" x14ac:dyDescent="0.25">
      <c r="A74" s="103"/>
      <c r="B74" s="103"/>
      <c r="C74" s="294"/>
      <c r="D74" s="379"/>
      <c r="E74" s="378"/>
      <c r="F74" s="377"/>
      <c r="G74" s="377"/>
      <c r="H74" s="377"/>
      <c r="I74" s="377"/>
      <c r="J74" s="377"/>
      <c r="K74" s="377"/>
      <c r="L74" s="377"/>
      <c r="M74" s="377"/>
      <c r="N74" s="377"/>
      <c r="O74" s="377"/>
      <c r="P74" s="377"/>
      <c r="Q74" s="377"/>
      <c r="R74" s="377"/>
      <c r="S74" s="377"/>
      <c r="T74" s="377"/>
      <c r="U74" s="377"/>
      <c r="V74" s="377"/>
      <c r="W74" s="377"/>
      <c r="X74" s="377"/>
      <c r="Y74" s="39"/>
      <c r="Z74" s="39"/>
    </row>
    <row r="75" spans="1:26" s="39" customFormat="1" ht="13.8" thickBot="1" x14ac:dyDescent="0.3">
      <c r="A75" s="74" t="s">
        <v>6</v>
      </c>
      <c r="B75" s="103"/>
      <c r="C75" s="294"/>
      <c r="D75" s="293"/>
      <c r="E75" s="292"/>
      <c r="F75" s="320"/>
    </row>
    <row r="76" spans="1:26" ht="13.8" thickBot="1" x14ac:dyDescent="0.3">
      <c r="A76" s="35"/>
      <c r="B76" s="74" t="s">
        <v>306</v>
      </c>
      <c r="C76" s="358" t="s">
        <v>30</v>
      </c>
      <c r="D76" s="357" t="s">
        <v>31</v>
      </c>
      <c r="E76" s="376" t="s">
        <v>0</v>
      </c>
      <c r="F76" s="374" t="s">
        <v>69</v>
      </c>
      <c r="G76" s="374" t="s">
        <v>69</v>
      </c>
      <c r="H76" s="847" t="s">
        <v>185</v>
      </c>
      <c r="I76" s="848"/>
      <c r="J76" s="848"/>
      <c r="K76" s="848"/>
      <c r="L76" s="848"/>
      <c r="M76" s="848"/>
      <c r="N76" s="848"/>
      <c r="O76" s="848"/>
      <c r="P76" s="848"/>
      <c r="Q76" s="849"/>
      <c r="R76" s="374" t="s">
        <v>302</v>
      </c>
      <c r="S76" s="374" t="s">
        <v>303</v>
      </c>
      <c r="T76" s="374" t="s">
        <v>303</v>
      </c>
      <c r="U76" s="374" t="s">
        <v>302</v>
      </c>
      <c r="V76" s="374" t="s">
        <v>303</v>
      </c>
      <c r="W76" s="91" t="s">
        <v>303</v>
      </c>
      <c r="X76" s="91" t="s">
        <v>305</v>
      </c>
    </row>
    <row r="77" spans="1:26" ht="13.8" thickBot="1" x14ac:dyDescent="0.3">
      <c r="A77" s="35"/>
      <c r="B77" s="74"/>
      <c r="C77" s="358"/>
      <c r="D77" s="357"/>
      <c r="E77" s="376"/>
      <c r="F77" s="374" t="s">
        <v>5</v>
      </c>
      <c r="G77" s="374" t="s">
        <v>5</v>
      </c>
      <c r="H77" s="375" t="s">
        <v>175</v>
      </c>
      <c r="I77" s="375" t="s">
        <v>176</v>
      </c>
      <c r="J77" s="375" t="s">
        <v>177</v>
      </c>
      <c r="K77" s="375" t="s">
        <v>178</v>
      </c>
      <c r="L77" s="375" t="s">
        <v>179</v>
      </c>
      <c r="M77" s="375" t="s">
        <v>180</v>
      </c>
      <c r="N77" s="375" t="s">
        <v>181</v>
      </c>
      <c r="O77" s="375" t="s">
        <v>182</v>
      </c>
      <c r="P77" s="375" t="s">
        <v>183</v>
      </c>
      <c r="Q77" s="375" t="s">
        <v>184</v>
      </c>
      <c r="R77" s="356"/>
      <c r="S77" s="374"/>
      <c r="T77" s="374"/>
      <c r="U77" s="374"/>
      <c r="V77" s="374"/>
      <c r="W77" s="88"/>
      <c r="X77" s="88"/>
    </row>
    <row r="78" spans="1:26" x14ac:dyDescent="0.25">
      <c r="B78" s="74"/>
      <c r="C78" s="358" t="s">
        <v>1</v>
      </c>
      <c r="D78" s="357" t="s">
        <v>2</v>
      </c>
      <c r="E78" s="356" t="s">
        <v>20</v>
      </c>
      <c r="F78" s="356" t="s">
        <v>20</v>
      </c>
      <c r="G78" s="91" t="s">
        <v>4</v>
      </c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356" t="s">
        <v>20</v>
      </c>
      <c r="S78" s="356" t="s">
        <v>20</v>
      </c>
      <c r="T78" s="219" t="s">
        <v>304</v>
      </c>
      <c r="U78" s="219" t="s">
        <v>4</v>
      </c>
      <c r="V78" s="219" t="s">
        <v>4</v>
      </c>
      <c r="W78" s="91" t="s">
        <v>304</v>
      </c>
      <c r="X78" s="91"/>
    </row>
    <row r="79" spans="1:26" x14ac:dyDescent="0.25">
      <c r="A79" s="74" t="s">
        <v>83</v>
      </c>
      <c r="B79" s="74"/>
      <c r="C79" s="358"/>
      <c r="D79" s="357"/>
      <c r="E79" s="356"/>
      <c r="F79" s="356"/>
      <c r="G79" s="91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20"/>
      <c r="S79" s="220"/>
      <c r="T79" s="220"/>
      <c r="U79" s="220"/>
      <c r="V79" s="220"/>
      <c r="W79" s="220"/>
      <c r="X79" s="220"/>
    </row>
    <row r="80" spans="1:26" x14ac:dyDescent="0.25">
      <c r="A80" s="129">
        <v>1</v>
      </c>
      <c r="B80" s="130" t="s">
        <v>84</v>
      </c>
      <c r="C80" s="329"/>
      <c r="D80" s="328"/>
      <c r="E80" s="327"/>
      <c r="F80" s="373"/>
      <c r="G80" s="137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21"/>
      <c r="S80" s="221"/>
      <c r="T80" s="221"/>
      <c r="U80" s="221"/>
      <c r="V80" s="221"/>
      <c r="W80" s="221"/>
      <c r="X80" s="221"/>
    </row>
    <row r="81" spans="1:24" x14ac:dyDescent="0.25">
      <c r="A81" s="200">
        <v>1.1000000000000001</v>
      </c>
      <c r="B81" s="113" t="s">
        <v>87</v>
      </c>
      <c r="C81" s="310"/>
      <c r="D81" s="339"/>
      <c r="E81" s="338"/>
      <c r="F81" s="372">
        <v>0</v>
      </c>
      <c r="G81" s="32">
        <f>F81*C4</f>
        <v>0</v>
      </c>
      <c r="H81" s="240"/>
      <c r="I81" s="240"/>
      <c r="J81" s="240"/>
      <c r="K81" s="240"/>
      <c r="L81" s="240"/>
      <c r="M81" s="240"/>
      <c r="N81" s="240"/>
      <c r="O81" s="240"/>
      <c r="P81" s="240"/>
      <c r="Q81" s="249"/>
      <c r="R81" s="263"/>
      <c r="S81" s="222">
        <f>R81-F81</f>
        <v>0</v>
      </c>
      <c r="T81" s="228">
        <f>IF(F81=0,0,S81/F81)</f>
        <v>0</v>
      </c>
      <c r="U81" s="222">
        <f>R81*$C$4</f>
        <v>0</v>
      </c>
      <c r="V81" s="222">
        <f>U81-G81</f>
        <v>0</v>
      </c>
      <c r="W81" s="228">
        <f>IF(G81=0,0,V81/G81)</f>
        <v>0</v>
      </c>
      <c r="X81" s="228"/>
    </row>
    <row r="82" spans="1:24" x14ac:dyDescent="0.25">
      <c r="A82" s="103" t="s">
        <v>110</v>
      </c>
      <c r="B82" s="113"/>
      <c r="C82" s="371"/>
      <c r="D82" s="370"/>
      <c r="E82" s="320"/>
      <c r="F82" s="320"/>
      <c r="G82" s="32"/>
      <c r="H82" s="239"/>
      <c r="I82" s="239"/>
      <c r="J82" s="239"/>
      <c r="K82" s="239"/>
      <c r="L82" s="239"/>
      <c r="M82" s="239"/>
      <c r="N82" s="239"/>
      <c r="O82" s="239"/>
      <c r="P82" s="239"/>
      <c r="Q82" s="250"/>
      <c r="R82" s="255"/>
      <c r="S82" s="222"/>
      <c r="T82" s="228"/>
      <c r="U82" s="222"/>
      <c r="V82" s="222"/>
      <c r="W82" s="228"/>
      <c r="X82" s="228"/>
    </row>
    <row r="83" spans="1:24" x14ac:dyDescent="0.25">
      <c r="A83" s="209" t="s">
        <v>86</v>
      </c>
      <c r="B83" s="46"/>
      <c r="C83" s="310"/>
      <c r="D83" s="339"/>
      <c r="E83" s="338"/>
      <c r="F83" s="369">
        <f t="shared" ref="F83" si="0">D83*E83</f>
        <v>0</v>
      </c>
      <c r="G83" s="32">
        <f>F83*C4</f>
        <v>0</v>
      </c>
      <c r="H83" s="239"/>
      <c r="I83" s="239"/>
      <c r="J83" s="239"/>
      <c r="K83" s="239"/>
      <c r="L83" s="239"/>
      <c r="M83" s="239"/>
      <c r="N83" s="239"/>
      <c r="O83" s="239"/>
      <c r="P83" s="239"/>
      <c r="Q83" s="250"/>
      <c r="R83" s="261"/>
      <c r="S83" s="222">
        <f t="shared" ref="S83" si="1">R83-F83</f>
        <v>0</v>
      </c>
      <c r="T83" s="228">
        <f t="shared" ref="T83" si="2">IF(F83=0,0,S83/F83)</f>
        <v>0</v>
      </c>
      <c r="U83" s="222">
        <f t="shared" ref="U83" si="3">R83*$C$4</f>
        <v>0</v>
      </c>
      <c r="V83" s="222">
        <f t="shared" ref="V83" si="4">U83-G83</f>
        <v>0</v>
      </c>
      <c r="W83" s="228">
        <f t="shared" ref="W83" si="5">IF(G83=0,0,V83/G83)</f>
        <v>0</v>
      </c>
      <c r="X83" s="228"/>
    </row>
    <row r="84" spans="1:24" x14ac:dyDescent="0.25">
      <c r="A84" s="207"/>
      <c r="B84" s="208"/>
      <c r="C84" s="368"/>
      <c r="D84" s="367"/>
      <c r="E84" s="366"/>
      <c r="F84" s="276"/>
      <c r="H84" s="239"/>
      <c r="I84" s="239"/>
      <c r="J84" s="239"/>
      <c r="K84" s="239"/>
      <c r="L84" s="239"/>
      <c r="M84" s="239"/>
      <c r="N84" s="239"/>
      <c r="O84" s="239"/>
      <c r="P84" s="239"/>
      <c r="Q84" s="250"/>
      <c r="R84" s="256"/>
      <c r="S84" s="222"/>
      <c r="T84" s="228"/>
      <c r="U84" s="222"/>
      <c r="V84" s="222"/>
      <c r="W84" s="228"/>
      <c r="X84" s="228"/>
    </row>
    <row r="85" spans="1:24" x14ac:dyDescent="0.25">
      <c r="A85" s="103" t="s">
        <v>111</v>
      </c>
      <c r="C85" s="326"/>
      <c r="D85" s="325"/>
      <c r="E85" s="324"/>
      <c r="F85" s="276"/>
      <c r="H85" s="239"/>
      <c r="I85" s="239"/>
      <c r="J85" s="239"/>
      <c r="K85" s="239"/>
      <c r="L85" s="239"/>
      <c r="M85" s="239"/>
      <c r="N85" s="239"/>
      <c r="O85" s="239"/>
      <c r="P85" s="239"/>
      <c r="Q85" s="250"/>
      <c r="R85" s="256"/>
      <c r="S85" s="222"/>
      <c r="T85" s="228"/>
      <c r="U85" s="222"/>
      <c r="V85" s="222"/>
      <c r="W85" s="228"/>
      <c r="X85" s="228"/>
    </row>
    <row r="86" spans="1:24" x14ac:dyDescent="0.25">
      <c r="A86" s="81" t="s">
        <v>88</v>
      </c>
      <c r="B86" s="46" t="s">
        <v>390</v>
      </c>
      <c r="C86" s="310" t="s">
        <v>314</v>
      </c>
      <c r="D86" s="339">
        <v>12</v>
      </c>
      <c r="E86" s="338">
        <v>1250</v>
      </c>
      <c r="F86" s="276">
        <f t="shared" ref="F86:F89" si="6">D86*E86</f>
        <v>15000</v>
      </c>
      <c r="G86" s="35">
        <f>F86*C4</f>
        <v>21150</v>
      </c>
      <c r="H86" s="239"/>
      <c r="I86" s="239"/>
      <c r="J86" s="239"/>
      <c r="K86" s="239"/>
      <c r="L86" s="239"/>
      <c r="M86" s="239"/>
      <c r="N86" s="239"/>
      <c r="O86" s="239"/>
      <c r="P86" s="239"/>
      <c r="Q86" s="250"/>
      <c r="R86" s="261"/>
      <c r="S86" s="222">
        <f t="shared" ref="S86:S89" si="7">R86-F86</f>
        <v>-15000</v>
      </c>
      <c r="T86" s="228">
        <f t="shared" ref="T86:T89" si="8">IF(F86=0,0,S86/F86)</f>
        <v>-1</v>
      </c>
      <c r="U86" s="222">
        <f t="shared" ref="U86:U89" si="9">R86*$C$4</f>
        <v>0</v>
      </c>
      <c r="V86" s="222">
        <f t="shared" ref="V86:V89" si="10">U86-G86</f>
        <v>-21150</v>
      </c>
      <c r="W86" s="228">
        <f t="shared" ref="W86:W89" si="11">IF(G86=0,0,V86/G86)</f>
        <v>-1</v>
      </c>
      <c r="X86" s="228"/>
    </row>
    <row r="87" spans="1:24" x14ac:dyDescent="0.25">
      <c r="A87" s="148" t="s">
        <v>94</v>
      </c>
      <c r="B87" s="46" t="s">
        <v>389</v>
      </c>
      <c r="C87" s="310" t="s">
        <v>314</v>
      </c>
      <c r="D87" s="339">
        <v>12</v>
      </c>
      <c r="E87" s="338">
        <v>900</v>
      </c>
      <c r="F87" s="276">
        <f t="shared" si="6"/>
        <v>10800</v>
      </c>
      <c r="G87" s="35">
        <f>F87*C4</f>
        <v>15228</v>
      </c>
      <c r="H87" s="239"/>
      <c r="I87" s="239"/>
      <c r="J87" s="239"/>
      <c r="K87" s="239"/>
      <c r="L87" s="239"/>
      <c r="M87" s="239"/>
      <c r="N87" s="239"/>
      <c r="O87" s="239"/>
      <c r="P87" s="239"/>
      <c r="Q87" s="250"/>
      <c r="R87" s="261"/>
      <c r="S87" s="222">
        <f t="shared" si="7"/>
        <v>-10800</v>
      </c>
      <c r="T87" s="228">
        <f t="shared" si="8"/>
        <v>-1</v>
      </c>
      <c r="U87" s="222">
        <f t="shared" si="9"/>
        <v>0</v>
      </c>
      <c r="V87" s="222">
        <f t="shared" si="10"/>
        <v>-15228</v>
      </c>
      <c r="W87" s="228">
        <f t="shared" si="11"/>
        <v>-1</v>
      </c>
      <c r="X87" s="228"/>
    </row>
    <row r="88" spans="1:24" x14ac:dyDescent="0.25">
      <c r="A88" s="148" t="s">
        <v>95</v>
      </c>
      <c r="B88" s="46" t="s">
        <v>388</v>
      </c>
      <c r="C88" s="310" t="s">
        <v>314</v>
      </c>
      <c r="D88" s="339">
        <v>12</v>
      </c>
      <c r="E88" s="338">
        <v>2550</v>
      </c>
      <c r="F88" s="276">
        <f t="shared" si="6"/>
        <v>30600</v>
      </c>
      <c r="G88" s="35">
        <f>F88*C4</f>
        <v>43146</v>
      </c>
      <c r="H88" s="239"/>
      <c r="I88" s="239"/>
      <c r="J88" s="239"/>
      <c r="K88" s="239"/>
      <c r="L88" s="239"/>
      <c r="M88" s="239"/>
      <c r="N88" s="239"/>
      <c r="O88" s="239"/>
      <c r="P88" s="239"/>
      <c r="Q88" s="250"/>
      <c r="R88" s="261"/>
      <c r="S88" s="222">
        <f t="shared" si="7"/>
        <v>-30600</v>
      </c>
      <c r="T88" s="228">
        <f t="shared" si="8"/>
        <v>-1</v>
      </c>
      <c r="U88" s="222">
        <f t="shared" si="9"/>
        <v>0</v>
      </c>
      <c r="V88" s="222">
        <f t="shared" si="10"/>
        <v>-43146</v>
      </c>
      <c r="W88" s="228">
        <f t="shared" si="11"/>
        <v>-1</v>
      </c>
      <c r="X88" s="228"/>
    </row>
    <row r="89" spans="1:24" x14ac:dyDescent="0.25">
      <c r="A89" s="148" t="s">
        <v>96</v>
      </c>
      <c r="B89" s="46" t="s">
        <v>387</v>
      </c>
      <c r="C89" s="310" t="s">
        <v>384</v>
      </c>
      <c r="D89" s="339">
        <v>120</v>
      </c>
      <c r="E89" s="338">
        <v>300</v>
      </c>
      <c r="F89" s="276">
        <f t="shared" si="6"/>
        <v>36000</v>
      </c>
      <c r="G89" s="35">
        <f>F89*C4</f>
        <v>50760</v>
      </c>
      <c r="H89" s="239"/>
      <c r="I89" s="239"/>
      <c r="J89" s="239"/>
      <c r="K89" s="239"/>
      <c r="L89" s="239"/>
      <c r="M89" s="239"/>
      <c r="N89" s="239"/>
      <c r="O89" s="239"/>
      <c r="P89" s="239"/>
      <c r="Q89" s="250"/>
      <c r="R89" s="261"/>
      <c r="S89" s="222">
        <f t="shared" si="7"/>
        <v>-36000</v>
      </c>
      <c r="T89" s="228">
        <f t="shared" si="8"/>
        <v>-1</v>
      </c>
      <c r="U89" s="222">
        <f t="shared" si="9"/>
        <v>0</v>
      </c>
      <c r="V89" s="222">
        <f t="shared" si="10"/>
        <v>-50760</v>
      </c>
      <c r="W89" s="228">
        <f t="shared" si="11"/>
        <v>-1</v>
      </c>
      <c r="X89" s="228"/>
    </row>
    <row r="90" spans="1:24" hidden="1" x14ac:dyDescent="0.25">
      <c r="A90" s="91"/>
      <c r="B90" s="149"/>
      <c r="C90" s="365"/>
      <c r="D90" s="364"/>
      <c r="E90" s="363"/>
      <c r="F90" s="276"/>
      <c r="G90" s="91"/>
      <c r="H90" s="238"/>
      <c r="I90" s="238"/>
      <c r="J90" s="238"/>
      <c r="K90" s="238"/>
      <c r="L90" s="238"/>
      <c r="M90" s="238"/>
      <c r="N90" s="238"/>
      <c r="O90" s="238"/>
      <c r="P90" s="238"/>
      <c r="Q90" s="251"/>
      <c r="R90" s="257"/>
      <c r="S90" s="222"/>
      <c r="T90" s="228"/>
      <c r="U90" s="222"/>
      <c r="V90" s="222"/>
      <c r="W90" s="228"/>
      <c r="X90" s="228"/>
    </row>
    <row r="91" spans="1:24" hidden="1" x14ac:dyDescent="0.25">
      <c r="A91" s="201"/>
      <c r="B91" s="202" t="s">
        <v>191</v>
      </c>
      <c r="C91" s="362"/>
      <c r="D91" s="361"/>
      <c r="E91" s="360"/>
      <c r="F91" s="359">
        <f>SUM(F83:F84)</f>
        <v>0</v>
      </c>
      <c r="G91" s="201">
        <f>SUM(G83:G84)</f>
        <v>0</v>
      </c>
      <c r="H91" s="238"/>
      <c r="I91" s="238"/>
      <c r="J91" s="238"/>
      <c r="K91" s="238"/>
      <c r="L91" s="238"/>
      <c r="M91" s="238"/>
      <c r="N91" s="238"/>
      <c r="O91" s="238"/>
      <c r="P91" s="238"/>
      <c r="Q91" s="251"/>
      <c r="R91" s="257"/>
      <c r="S91" s="222">
        <f>R91-F91</f>
        <v>0</v>
      </c>
      <c r="T91" s="228">
        <f>IF(F91=0,0,S91/F91)</f>
        <v>0</v>
      </c>
      <c r="U91" s="222">
        <f>R91*$C$4</f>
        <v>0</v>
      </c>
      <c r="V91" s="222">
        <f>U91-G91</f>
        <v>0</v>
      </c>
      <c r="W91" s="228">
        <f>IF(G91=0,0,V91/G91)</f>
        <v>0</v>
      </c>
      <c r="X91" s="228"/>
    </row>
    <row r="92" spans="1:24" hidden="1" x14ac:dyDescent="0.25">
      <c r="A92" s="201"/>
      <c r="B92" s="202" t="s">
        <v>190</v>
      </c>
      <c r="C92" s="362"/>
      <c r="D92" s="361"/>
      <c r="E92" s="360"/>
      <c r="F92" s="359">
        <f>SUM(F86:F90)</f>
        <v>92400</v>
      </c>
      <c r="G92" s="201">
        <f>SUM(G86:G90)</f>
        <v>130284</v>
      </c>
      <c r="H92" s="238"/>
      <c r="I92" s="238"/>
      <c r="J92" s="238"/>
      <c r="K92" s="238"/>
      <c r="L92" s="238"/>
      <c r="M92" s="238"/>
      <c r="N92" s="238"/>
      <c r="O92" s="238"/>
      <c r="P92" s="238"/>
      <c r="Q92" s="251"/>
      <c r="R92" s="257"/>
      <c r="S92" s="222">
        <f>R92-F92</f>
        <v>-92400</v>
      </c>
      <c r="T92" s="228">
        <f>IF(F92=0,0,S92/F92)</f>
        <v>-1</v>
      </c>
      <c r="U92" s="222">
        <f>R92*$C$4</f>
        <v>0</v>
      </c>
      <c r="V92" s="222">
        <f>U92-G92</f>
        <v>-130284</v>
      </c>
      <c r="W92" s="228">
        <f>IF(G92=0,0,V92/G92)</f>
        <v>-1</v>
      </c>
      <c r="X92" s="228"/>
    </row>
    <row r="93" spans="1:24" ht="13.8" thickBot="1" x14ac:dyDescent="0.3">
      <c r="A93" s="103"/>
      <c r="B93" s="150" t="s">
        <v>85</v>
      </c>
      <c r="C93" s="294"/>
      <c r="D93" s="293"/>
      <c r="E93" s="292"/>
      <c r="F93" s="316">
        <f>SUM(F81+F83+F86+F87+F88+F89)</f>
        <v>92400</v>
      </c>
      <c r="G93" s="316">
        <f>SUM(G81+G83+G86+G87+G88+G89)</f>
        <v>130284</v>
      </c>
      <c r="H93" s="286"/>
      <c r="I93" s="286"/>
      <c r="J93" s="286"/>
      <c r="K93" s="286"/>
      <c r="L93" s="286"/>
      <c r="M93" s="286"/>
      <c r="N93" s="286"/>
      <c r="O93" s="286"/>
      <c r="P93" s="286"/>
      <c r="Q93" s="312"/>
      <c r="R93" s="311"/>
      <c r="S93" s="234">
        <f>R93-F93</f>
        <v>-92400</v>
      </c>
      <c r="T93" s="235">
        <f>IF(F93=0,0,S93/F93)</f>
        <v>-1</v>
      </c>
      <c r="U93" s="234">
        <f>R93*$C$4</f>
        <v>0</v>
      </c>
      <c r="V93" s="234">
        <f>U93-G93</f>
        <v>-130284</v>
      </c>
      <c r="W93" s="235">
        <f>IF(G93=0,0,V93/G93)</f>
        <v>-1</v>
      </c>
      <c r="X93" s="235"/>
    </row>
    <row r="94" spans="1:24" ht="13.8" thickTop="1" x14ac:dyDescent="0.25">
      <c r="A94" s="91"/>
      <c r="B94" s="74"/>
      <c r="C94" s="358"/>
      <c r="D94" s="357"/>
      <c r="E94" s="356"/>
      <c r="F94" s="356"/>
      <c r="G94" s="91"/>
      <c r="H94" s="238"/>
      <c r="I94" s="238"/>
      <c r="J94" s="238"/>
      <c r="K94" s="238"/>
      <c r="L94" s="238"/>
      <c r="M94" s="238"/>
      <c r="N94" s="238"/>
      <c r="O94" s="238"/>
      <c r="P94" s="238"/>
      <c r="Q94" s="251"/>
      <c r="R94" s="257"/>
      <c r="S94" s="222"/>
      <c r="T94" s="228"/>
      <c r="U94" s="222"/>
      <c r="V94" s="222"/>
      <c r="W94" s="228"/>
      <c r="X94" s="228"/>
    </row>
    <row r="95" spans="1:24" x14ac:dyDescent="0.25">
      <c r="A95" s="129">
        <v>2</v>
      </c>
      <c r="B95" s="130" t="s">
        <v>99</v>
      </c>
      <c r="C95" s="329"/>
      <c r="D95" s="328"/>
      <c r="E95" s="327"/>
      <c r="F95" s="327"/>
      <c r="G95" s="151"/>
      <c r="H95" s="238"/>
      <c r="I95" s="238"/>
      <c r="J95" s="238"/>
      <c r="K95" s="238"/>
      <c r="L95" s="238"/>
      <c r="M95" s="238"/>
      <c r="N95" s="238"/>
      <c r="O95" s="238"/>
      <c r="P95" s="238"/>
      <c r="Q95" s="251"/>
      <c r="R95" s="259"/>
      <c r="S95" s="227"/>
      <c r="T95" s="229"/>
      <c r="U95" s="227"/>
      <c r="V95" s="227"/>
      <c r="W95" s="229"/>
      <c r="X95" s="229"/>
    </row>
    <row r="96" spans="1:24" x14ac:dyDescent="0.25">
      <c r="A96" s="217" t="s">
        <v>100</v>
      </c>
      <c r="B96" s="218" t="s">
        <v>70</v>
      </c>
      <c r="C96" s="355"/>
      <c r="D96" s="354"/>
      <c r="E96" s="353"/>
      <c r="F96" s="352">
        <f>SUM(F97:F101)</f>
        <v>0</v>
      </c>
      <c r="G96" s="212">
        <f>SUM(G97:G101)</f>
        <v>0</v>
      </c>
      <c r="H96" s="239"/>
      <c r="I96" s="239"/>
      <c r="J96" s="239"/>
      <c r="K96" s="239"/>
      <c r="L96" s="239"/>
      <c r="M96" s="239"/>
      <c r="N96" s="239"/>
      <c r="O96" s="239"/>
      <c r="P96" s="239"/>
      <c r="Q96" s="250"/>
      <c r="R96" s="261"/>
      <c r="S96" s="236">
        <f t="shared" ref="S96:S135" si="12">R96-F96</f>
        <v>0</v>
      </c>
      <c r="T96" s="237">
        <f t="shared" ref="T96:T135" si="13">IF(F96=0,0,S96/F96)</f>
        <v>0</v>
      </c>
      <c r="U96" s="236">
        <f t="shared" ref="U96:U122" si="14">R96*$C$4</f>
        <v>0</v>
      </c>
      <c r="V96" s="236">
        <f t="shared" ref="V96:V122" si="15">U96-G96</f>
        <v>0</v>
      </c>
      <c r="W96" s="237">
        <f t="shared" ref="W96:W122" si="16">IF(G96=0,0,V96/G96)</f>
        <v>0</v>
      </c>
      <c r="X96" s="237"/>
    </row>
    <row r="97" spans="1:24" hidden="1" x14ac:dyDescent="0.25">
      <c r="A97" s="152" t="s">
        <v>200</v>
      </c>
      <c r="B97" s="110" t="s">
        <v>252</v>
      </c>
      <c r="C97" s="351" t="s">
        <v>360</v>
      </c>
      <c r="D97" s="350">
        <v>0</v>
      </c>
      <c r="E97" s="349">
        <v>0</v>
      </c>
      <c r="F97" s="276">
        <f>D97*E97</f>
        <v>0</v>
      </c>
      <c r="G97" s="35">
        <f>F97*C4</f>
        <v>0</v>
      </c>
      <c r="H97" s="239"/>
      <c r="I97" s="239"/>
      <c r="J97" s="239"/>
      <c r="K97" s="239"/>
      <c r="L97" s="239"/>
      <c r="M97" s="239"/>
      <c r="N97" s="239"/>
      <c r="O97" s="239"/>
      <c r="P97" s="239"/>
      <c r="Q97" s="250"/>
      <c r="R97" s="261"/>
      <c r="S97" s="222">
        <f t="shared" si="12"/>
        <v>0</v>
      </c>
      <c r="T97" s="228">
        <f t="shared" si="13"/>
        <v>0</v>
      </c>
      <c r="U97" s="222">
        <f t="shared" si="14"/>
        <v>0</v>
      </c>
      <c r="V97" s="222">
        <f t="shared" si="15"/>
        <v>0</v>
      </c>
      <c r="W97" s="228">
        <f t="shared" si="16"/>
        <v>0</v>
      </c>
      <c r="X97" s="228"/>
    </row>
    <row r="98" spans="1:24" hidden="1" x14ac:dyDescent="0.25">
      <c r="A98" s="152" t="s">
        <v>201</v>
      </c>
      <c r="B98" s="110" t="s">
        <v>253</v>
      </c>
      <c r="C98" s="351"/>
      <c r="D98" s="350"/>
      <c r="E98" s="349"/>
      <c r="F98" s="276">
        <f>D98*E98</f>
        <v>0</v>
      </c>
      <c r="G98" s="35">
        <f>F98*C4</f>
        <v>0</v>
      </c>
      <c r="H98" s="239"/>
      <c r="I98" s="239"/>
      <c r="J98" s="239"/>
      <c r="K98" s="239"/>
      <c r="L98" s="239"/>
      <c r="M98" s="239"/>
      <c r="N98" s="239"/>
      <c r="O98" s="239"/>
      <c r="P98" s="239"/>
      <c r="Q98" s="250"/>
      <c r="R98" s="261"/>
      <c r="S98" s="222">
        <f t="shared" si="12"/>
        <v>0</v>
      </c>
      <c r="T98" s="228">
        <f t="shared" si="13"/>
        <v>0</v>
      </c>
      <c r="U98" s="222">
        <f t="shared" si="14"/>
        <v>0</v>
      </c>
      <c r="V98" s="222">
        <f t="shared" si="15"/>
        <v>0</v>
      </c>
      <c r="W98" s="228">
        <f t="shared" si="16"/>
        <v>0</v>
      </c>
      <c r="X98" s="228"/>
    </row>
    <row r="99" spans="1:24" hidden="1" x14ac:dyDescent="0.25">
      <c r="A99" s="152" t="s">
        <v>202</v>
      </c>
      <c r="B99" s="110" t="s">
        <v>254</v>
      </c>
      <c r="C99" s="351"/>
      <c r="D99" s="350"/>
      <c r="E99" s="349"/>
      <c r="F99" s="276">
        <f>D99*E99</f>
        <v>0</v>
      </c>
      <c r="G99" s="35">
        <f>F99*C4</f>
        <v>0</v>
      </c>
      <c r="H99" s="239"/>
      <c r="I99" s="239"/>
      <c r="J99" s="239"/>
      <c r="K99" s="239"/>
      <c r="L99" s="239"/>
      <c r="M99" s="239"/>
      <c r="N99" s="239"/>
      <c r="O99" s="239"/>
      <c r="P99" s="239"/>
      <c r="Q99" s="250"/>
      <c r="R99" s="261"/>
      <c r="S99" s="222">
        <f t="shared" si="12"/>
        <v>0</v>
      </c>
      <c r="T99" s="228">
        <f t="shared" si="13"/>
        <v>0</v>
      </c>
      <c r="U99" s="222">
        <f t="shared" si="14"/>
        <v>0</v>
      </c>
      <c r="V99" s="222">
        <f t="shared" si="15"/>
        <v>0</v>
      </c>
      <c r="W99" s="228">
        <f t="shared" si="16"/>
        <v>0</v>
      </c>
      <c r="X99" s="228"/>
    </row>
    <row r="100" spans="1:24" hidden="1" x14ac:dyDescent="0.25">
      <c r="A100" s="152" t="s">
        <v>203</v>
      </c>
      <c r="B100" s="110" t="s">
        <v>255</v>
      </c>
      <c r="C100" s="351"/>
      <c r="D100" s="350"/>
      <c r="E100" s="349"/>
      <c r="F100" s="276">
        <f>D100*E100</f>
        <v>0</v>
      </c>
      <c r="G100" s="35">
        <f>F100*C4</f>
        <v>0</v>
      </c>
      <c r="H100" s="239"/>
      <c r="I100" s="239"/>
      <c r="J100" s="239"/>
      <c r="K100" s="239"/>
      <c r="L100" s="239"/>
      <c r="M100" s="239"/>
      <c r="N100" s="239"/>
      <c r="O100" s="239"/>
      <c r="P100" s="239"/>
      <c r="Q100" s="250"/>
      <c r="R100" s="261"/>
      <c r="S100" s="222">
        <f t="shared" si="12"/>
        <v>0</v>
      </c>
      <c r="T100" s="228">
        <f t="shared" si="13"/>
        <v>0</v>
      </c>
      <c r="U100" s="222">
        <f t="shared" si="14"/>
        <v>0</v>
      </c>
      <c r="V100" s="222">
        <f t="shared" si="15"/>
        <v>0</v>
      </c>
      <c r="W100" s="228">
        <f t="shared" si="16"/>
        <v>0</v>
      </c>
      <c r="X100" s="228"/>
    </row>
    <row r="101" spans="1:24" hidden="1" x14ac:dyDescent="0.25">
      <c r="A101" s="152" t="s">
        <v>204</v>
      </c>
      <c r="B101" s="110" t="s">
        <v>256</v>
      </c>
      <c r="C101" s="351"/>
      <c r="D101" s="350"/>
      <c r="E101" s="349"/>
      <c r="F101" s="276">
        <f>D101*E101</f>
        <v>0</v>
      </c>
      <c r="G101" s="35">
        <f>F101*C4</f>
        <v>0</v>
      </c>
      <c r="H101" s="239"/>
      <c r="I101" s="239"/>
      <c r="J101" s="239"/>
      <c r="K101" s="239"/>
      <c r="L101" s="239"/>
      <c r="M101" s="239"/>
      <c r="N101" s="239"/>
      <c r="O101" s="239"/>
      <c r="P101" s="239"/>
      <c r="Q101" s="250"/>
      <c r="R101" s="261"/>
      <c r="S101" s="222">
        <f t="shared" si="12"/>
        <v>0</v>
      </c>
      <c r="T101" s="228">
        <f t="shared" si="13"/>
        <v>0</v>
      </c>
      <c r="U101" s="222">
        <f t="shared" si="14"/>
        <v>0</v>
      </c>
      <c r="V101" s="222">
        <f t="shared" si="15"/>
        <v>0</v>
      </c>
      <c r="W101" s="228">
        <f t="shared" si="16"/>
        <v>0</v>
      </c>
      <c r="X101" s="228"/>
    </row>
    <row r="102" spans="1:24" x14ac:dyDescent="0.25">
      <c r="A102" s="217" t="s">
        <v>101</v>
      </c>
      <c r="B102" s="218" t="s">
        <v>59</v>
      </c>
      <c r="C102" s="355"/>
      <c r="D102" s="354"/>
      <c r="E102" s="353"/>
      <c r="F102" s="352">
        <f>SUM(F103:F107)</f>
        <v>72500</v>
      </c>
      <c r="G102" s="212">
        <f>SUM(G103:G107)</f>
        <v>102225</v>
      </c>
      <c r="H102" s="239"/>
      <c r="I102" s="239"/>
      <c r="J102" s="239"/>
      <c r="K102" s="239"/>
      <c r="L102" s="239"/>
      <c r="M102" s="239"/>
      <c r="N102" s="239"/>
      <c r="O102" s="239"/>
      <c r="P102" s="239"/>
      <c r="Q102" s="250"/>
      <c r="R102" s="261"/>
      <c r="S102" s="236">
        <f t="shared" si="12"/>
        <v>-72500</v>
      </c>
      <c r="T102" s="237">
        <f t="shared" si="13"/>
        <v>-1</v>
      </c>
      <c r="U102" s="236">
        <f t="shared" si="14"/>
        <v>0</v>
      </c>
      <c r="V102" s="236">
        <f t="shared" si="15"/>
        <v>-102225</v>
      </c>
      <c r="W102" s="237">
        <f t="shared" si="16"/>
        <v>-1</v>
      </c>
      <c r="X102" s="237"/>
    </row>
    <row r="103" spans="1:24" x14ac:dyDescent="0.25">
      <c r="A103" s="152" t="s">
        <v>205</v>
      </c>
      <c r="B103" s="110" t="s">
        <v>59</v>
      </c>
      <c r="C103" s="351" t="s">
        <v>386</v>
      </c>
      <c r="D103" s="350">
        <v>2500</v>
      </c>
      <c r="E103" s="349">
        <v>29</v>
      </c>
      <c r="F103" s="276">
        <f>D103*E103</f>
        <v>72500</v>
      </c>
      <c r="G103" s="35">
        <f>F103*C4</f>
        <v>102225</v>
      </c>
      <c r="H103" s="239"/>
      <c r="I103" s="239"/>
      <c r="J103" s="239"/>
      <c r="K103" s="239"/>
      <c r="L103" s="239"/>
      <c r="M103" s="239"/>
      <c r="N103" s="239"/>
      <c r="O103" s="239"/>
      <c r="P103" s="239"/>
      <c r="Q103" s="250"/>
      <c r="R103" s="261"/>
      <c r="S103" s="222">
        <f t="shared" si="12"/>
        <v>-72500</v>
      </c>
      <c r="T103" s="228">
        <f t="shared" si="13"/>
        <v>-1</v>
      </c>
      <c r="U103" s="222">
        <f t="shared" si="14"/>
        <v>0</v>
      </c>
      <c r="V103" s="222">
        <f t="shared" si="15"/>
        <v>-102225</v>
      </c>
      <c r="W103" s="228">
        <f t="shared" si="16"/>
        <v>-1</v>
      </c>
      <c r="X103" s="228"/>
    </row>
    <row r="104" spans="1:24" hidden="1" x14ac:dyDescent="0.25">
      <c r="A104" s="152" t="s">
        <v>206</v>
      </c>
      <c r="B104" s="110" t="s">
        <v>261</v>
      </c>
      <c r="C104" s="351"/>
      <c r="D104" s="350"/>
      <c r="E104" s="349"/>
      <c r="F104" s="276">
        <f>D104*E104</f>
        <v>0</v>
      </c>
      <c r="G104" s="35">
        <f>F104*C4</f>
        <v>0</v>
      </c>
      <c r="H104" s="239"/>
      <c r="I104" s="239"/>
      <c r="J104" s="239"/>
      <c r="K104" s="239"/>
      <c r="L104" s="239"/>
      <c r="M104" s="239"/>
      <c r="N104" s="239"/>
      <c r="O104" s="239"/>
      <c r="P104" s="239"/>
      <c r="Q104" s="250"/>
      <c r="R104" s="261"/>
      <c r="S104" s="222">
        <f t="shared" si="12"/>
        <v>0</v>
      </c>
      <c r="T104" s="228">
        <f t="shared" si="13"/>
        <v>0</v>
      </c>
      <c r="U104" s="222">
        <f t="shared" si="14"/>
        <v>0</v>
      </c>
      <c r="V104" s="222">
        <f t="shared" si="15"/>
        <v>0</v>
      </c>
      <c r="W104" s="228">
        <f t="shared" si="16"/>
        <v>0</v>
      </c>
      <c r="X104" s="228"/>
    </row>
    <row r="105" spans="1:24" hidden="1" x14ac:dyDescent="0.25">
      <c r="A105" s="152" t="s">
        <v>207</v>
      </c>
      <c r="B105" s="110" t="s">
        <v>260</v>
      </c>
      <c r="C105" s="351"/>
      <c r="D105" s="350"/>
      <c r="E105" s="349"/>
      <c r="F105" s="276">
        <f>D105*E105</f>
        <v>0</v>
      </c>
      <c r="G105" s="35">
        <f>F105*C4</f>
        <v>0</v>
      </c>
      <c r="H105" s="239"/>
      <c r="I105" s="239"/>
      <c r="J105" s="239"/>
      <c r="K105" s="239"/>
      <c r="L105" s="239"/>
      <c r="M105" s="239"/>
      <c r="N105" s="239"/>
      <c r="O105" s="239"/>
      <c r="P105" s="239"/>
      <c r="Q105" s="250"/>
      <c r="R105" s="261"/>
      <c r="S105" s="222">
        <f t="shared" si="12"/>
        <v>0</v>
      </c>
      <c r="T105" s="228">
        <f t="shared" si="13"/>
        <v>0</v>
      </c>
      <c r="U105" s="222">
        <f t="shared" si="14"/>
        <v>0</v>
      </c>
      <c r="V105" s="222">
        <f t="shared" si="15"/>
        <v>0</v>
      </c>
      <c r="W105" s="228">
        <f t="shared" si="16"/>
        <v>0</v>
      </c>
      <c r="X105" s="228"/>
    </row>
    <row r="106" spans="1:24" hidden="1" x14ac:dyDescent="0.25">
      <c r="A106" s="152" t="s">
        <v>208</v>
      </c>
      <c r="B106" s="110" t="s">
        <v>259</v>
      </c>
      <c r="C106" s="351"/>
      <c r="D106" s="350"/>
      <c r="E106" s="349"/>
      <c r="F106" s="276">
        <f>D106*E106</f>
        <v>0</v>
      </c>
      <c r="G106" s="35">
        <f>F106*C4</f>
        <v>0</v>
      </c>
      <c r="H106" s="239"/>
      <c r="I106" s="239"/>
      <c r="J106" s="239"/>
      <c r="K106" s="239"/>
      <c r="L106" s="239"/>
      <c r="M106" s="239"/>
      <c r="N106" s="239"/>
      <c r="O106" s="239"/>
      <c r="P106" s="239"/>
      <c r="Q106" s="250"/>
      <c r="R106" s="261"/>
      <c r="S106" s="222">
        <f t="shared" si="12"/>
        <v>0</v>
      </c>
      <c r="T106" s="228">
        <f t="shared" si="13"/>
        <v>0</v>
      </c>
      <c r="U106" s="222">
        <f t="shared" si="14"/>
        <v>0</v>
      </c>
      <c r="V106" s="222">
        <f t="shared" si="15"/>
        <v>0</v>
      </c>
      <c r="W106" s="228">
        <f t="shared" si="16"/>
        <v>0</v>
      </c>
      <c r="X106" s="228"/>
    </row>
    <row r="107" spans="1:24" hidden="1" x14ac:dyDescent="0.25">
      <c r="A107" s="152" t="s">
        <v>209</v>
      </c>
      <c r="B107" s="110" t="s">
        <v>258</v>
      </c>
      <c r="C107" s="351"/>
      <c r="D107" s="350"/>
      <c r="E107" s="349"/>
      <c r="F107" s="276">
        <f>D107*E107</f>
        <v>0</v>
      </c>
      <c r="G107" s="35">
        <f>F107*C4</f>
        <v>0</v>
      </c>
      <c r="H107" s="239"/>
      <c r="I107" s="239"/>
      <c r="J107" s="239"/>
      <c r="K107" s="239"/>
      <c r="L107" s="239"/>
      <c r="M107" s="239"/>
      <c r="N107" s="239"/>
      <c r="O107" s="239"/>
      <c r="P107" s="239"/>
      <c r="Q107" s="250"/>
      <c r="R107" s="261"/>
      <c r="S107" s="222">
        <f t="shared" si="12"/>
        <v>0</v>
      </c>
      <c r="T107" s="228">
        <f t="shared" si="13"/>
        <v>0</v>
      </c>
      <c r="U107" s="222">
        <f t="shared" si="14"/>
        <v>0</v>
      </c>
      <c r="V107" s="222">
        <f t="shared" si="15"/>
        <v>0</v>
      </c>
      <c r="W107" s="228">
        <f t="shared" si="16"/>
        <v>0</v>
      </c>
      <c r="X107" s="228"/>
    </row>
    <row r="108" spans="1:24" x14ac:dyDescent="0.25">
      <c r="A108" s="217" t="s">
        <v>102</v>
      </c>
      <c r="B108" s="218" t="s">
        <v>71</v>
      </c>
      <c r="C108" s="355"/>
      <c r="D108" s="354"/>
      <c r="E108" s="353"/>
      <c r="F108" s="352">
        <f>SUM(F109:F113)</f>
        <v>0</v>
      </c>
      <c r="G108" s="212">
        <f>SUM(G109:G113)</f>
        <v>0</v>
      </c>
      <c r="H108" s="239"/>
      <c r="I108" s="239"/>
      <c r="J108" s="239"/>
      <c r="K108" s="239"/>
      <c r="L108" s="239"/>
      <c r="M108" s="239"/>
      <c r="N108" s="239"/>
      <c r="O108" s="239"/>
      <c r="P108" s="239"/>
      <c r="Q108" s="250"/>
      <c r="R108" s="261"/>
      <c r="S108" s="236">
        <f t="shared" si="12"/>
        <v>0</v>
      </c>
      <c r="T108" s="237">
        <f t="shared" si="13"/>
        <v>0</v>
      </c>
      <c r="U108" s="236">
        <f t="shared" si="14"/>
        <v>0</v>
      </c>
      <c r="V108" s="236">
        <f t="shared" si="15"/>
        <v>0</v>
      </c>
      <c r="W108" s="237">
        <f t="shared" si="16"/>
        <v>0</v>
      </c>
      <c r="X108" s="237"/>
    </row>
    <row r="109" spans="1:24" hidden="1" x14ac:dyDescent="0.25">
      <c r="A109" s="152" t="s">
        <v>210</v>
      </c>
      <c r="B109" s="110" t="s">
        <v>262</v>
      </c>
      <c r="C109" s="351"/>
      <c r="D109" s="350"/>
      <c r="E109" s="349"/>
      <c r="F109" s="276">
        <f>D109*E109</f>
        <v>0</v>
      </c>
      <c r="G109" s="35">
        <f>F109*C4</f>
        <v>0</v>
      </c>
      <c r="H109" s="239"/>
      <c r="I109" s="239"/>
      <c r="J109" s="239"/>
      <c r="K109" s="239"/>
      <c r="L109" s="239"/>
      <c r="M109" s="239"/>
      <c r="N109" s="239"/>
      <c r="O109" s="239"/>
      <c r="P109" s="239"/>
      <c r="Q109" s="250"/>
      <c r="R109" s="261"/>
      <c r="S109" s="222">
        <f t="shared" si="12"/>
        <v>0</v>
      </c>
      <c r="T109" s="228">
        <f t="shared" si="13"/>
        <v>0</v>
      </c>
      <c r="U109" s="222">
        <f t="shared" si="14"/>
        <v>0</v>
      </c>
      <c r="V109" s="222">
        <f t="shared" si="15"/>
        <v>0</v>
      </c>
      <c r="W109" s="228">
        <f t="shared" si="16"/>
        <v>0</v>
      </c>
      <c r="X109" s="228"/>
    </row>
    <row r="110" spans="1:24" hidden="1" x14ac:dyDescent="0.25">
      <c r="A110" s="152" t="s">
        <v>211</v>
      </c>
      <c r="B110" s="110" t="s">
        <v>263</v>
      </c>
      <c r="C110" s="351"/>
      <c r="D110" s="350"/>
      <c r="E110" s="349"/>
      <c r="F110" s="276">
        <f>D110*E110</f>
        <v>0</v>
      </c>
      <c r="G110" s="35">
        <f>F110*C4</f>
        <v>0</v>
      </c>
      <c r="H110" s="239"/>
      <c r="I110" s="239"/>
      <c r="J110" s="239"/>
      <c r="K110" s="239"/>
      <c r="L110" s="239"/>
      <c r="M110" s="239"/>
      <c r="N110" s="239"/>
      <c r="O110" s="239"/>
      <c r="P110" s="239"/>
      <c r="Q110" s="250"/>
      <c r="R110" s="261"/>
      <c r="S110" s="222">
        <f t="shared" si="12"/>
        <v>0</v>
      </c>
      <c r="T110" s="228">
        <f t="shared" si="13"/>
        <v>0</v>
      </c>
      <c r="U110" s="222">
        <f t="shared" si="14"/>
        <v>0</v>
      </c>
      <c r="V110" s="222">
        <f t="shared" si="15"/>
        <v>0</v>
      </c>
      <c r="W110" s="228">
        <f t="shared" si="16"/>
        <v>0</v>
      </c>
      <c r="X110" s="228"/>
    </row>
    <row r="111" spans="1:24" hidden="1" x14ac:dyDescent="0.25">
      <c r="A111" s="152" t="s">
        <v>212</v>
      </c>
      <c r="B111" s="110" t="s">
        <v>264</v>
      </c>
      <c r="C111" s="351"/>
      <c r="D111" s="350"/>
      <c r="E111" s="349"/>
      <c r="F111" s="276">
        <f>D111*E111</f>
        <v>0</v>
      </c>
      <c r="G111" s="35">
        <f>F111*C4</f>
        <v>0</v>
      </c>
      <c r="H111" s="239"/>
      <c r="I111" s="239"/>
      <c r="J111" s="239"/>
      <c r="K111" s="239"/>
      <c r="L111" s="239"/>
      <c r="M111" s="239"/>
      <c r="N111" s="239"/>
      <c r="O111" s="239"/>
      <c r="P111" s="239"/>
      <c r="Q111" s="250"/>
      <c r="R111" s="261"/>
      <c r="S111" s="222">
        <f t="shared" si="12"/>
        <v>0</v>
      </c>
      <c r="T111" s="228">
        <f t="shared" si="13"/>
        <v>0</v>
      </c>
      <c r="U111" s="222">
        <f t="shared" si="14"/>
        <v>0</v>
      </c>
      <c r="V111" s="222">
        <f t="shared" si="15"/>
        <v>0</v>
      </c>
      <c r="W111" s="228">
        <f t="shared" si="16"/>
        <v>0</v>
      </c>
      <c r="X111" s="228"/>
    </row>
    <row r="112" spans="1:24" hidden="1" x14ac:dyDescent="0.25">
      <c r="A112" s="152" t="s">
        <v>213</v>
      </c>
      <c r="B112" s="110" t="s">
        <v>265</v>
      </c>
      <c r="C112" s="351"/>
      <c r="D112" s="350"/>
      <c r="E112" s="349"/>
      <c r="F112" s="276">
        <f>D112*E112</f>
        <v>0</v>
      </c>
      <c r="G112" s="35">
        <f>F112*C4</f>
        <v>0</v>
      </c>
      <c r="H112" s="239"/>
      <c r="I112" s="239"/>
      <c r="J112" s="239"/>
      <c r="K112" s="239"/>
      <c r="L112" s="239"/>
      <c r="M112" s="239"/>
      <c r="N112" s="239"/>
      <c r="O112" s="239"/>
      <c r="P112" s="239"/>
      <c r="Q112" s="250"/>
      <c r="R112" s="261"/>
      <c r="S112" s="222">
        <f t="shared" si="12"/>
        <v>0</v>
      </c>
      <c r="T112" s="228">
        <f t="shared" si="13"/>
        <v>0</v>
      </c>
      <c r="U112" s="222">
        <f t="shared" si="14"/>
        <v>0</v>
      </c>
      <c r="V112" s="222">
        <f t="shared" si="15"/>
        <v>0</v>
      </c>
      <c r="W112" s="228">
        <f t="shared" si="16"/>
        <v>0</v>
      </c>
      <c r="X112" s="228"/>
    </row>
    <row r="113" spans="1:24" hidden="1" x14ac:dyDescent="0.25">
      <c r="A113" s="152" t="s">
        <v>214</v>
      </c>
      <c r="B113" s="110" t="s">
        <v>266</v>
      </c>
      <c r="C113" s="351"/>
      <c r="D113" s="350"/>
      <c r="E113" s="349"/>
      <c r="F113" s="276">
        <f>D113*E113</f>
        <v>0</v>
      </c>
      <c r="G113" s="35">
        <f>F113*C4</f>
        <v>0</v>
      </c>
      <c r="H113" s="239"/>
      <c r="I113" s="239"/>
      <c r="J113" s="239"/>
      <c r="K113" s="239"/>
      <c r="L113" s="239"/>
      <c r="M113" s="239"/>
      <c r="N113" s="239"/>
      <c r="O113" s="239"/>
      <c r="P113" s="239"/>
      <c r="Q113" s="250"/>
      <c r="R113" s="261"/>
      <c r="S113" s="222">
        <f t="shared" si="12"/>
        <v>0</v>
      </c>
      <c r="T113" s="228">
        <f t="shared" si="13"/>
        <v>0</v>
      </c>
      <c r="U113" s="222">
        <f t="shared" si="14"/>
        <v>0</v>
      </c>
      <c r="V113" s="222">
        <f t="shared" si="15"/>
        <v>0</v>
      </c>
      <c r="W113" s="228">
        <f t="shared" si="16"/>
        <v>0</v>
      </c>
      <c r="X113" s="228"/>
    </row>
    <row r="114" spans="1:24" x14ac:dyDescent="0.25">
      <c r="A114" s="217" t="s">
        <v>103</v>
      </c>
      <c r="B114" s="218" t="s">
        <v>72</v>
      </c>
      <c r="C114" s="355"/>
      <c r="D114" s="354"/>
      <c r="E114" s="353"/>
      <c r="F114" s="352">
        <f>SUM(F115:F119)</f>
        <v>47000</v>
      </c>
      <c r="G114" s="212">
        <f>SUM(G115:G119)</f>
        <v>66270</v>
      </c>
      <c r="H114" s="239"/>
      <c r="I114" s="239"/>
      <c r="J114" s="239"/>
      <c r="K114" s="239"/>
      <c r="L114" s="239"/>
      <c r="M114" s="239"/>
      <c r="N114" s="239"/>
      <c r="O114" s="239"/>
      <c r="P114" s="239"/>
      <c r="Q114" s="250"/>
      <c r="R114" s="261"/>
      <c r="S114" s="236">
        <f t="shared" si="12"/>
        <v>-47000</v>
      </c>
      <c r="T114" s="237">
        <f t="shared" si="13"/>
        <v>-1</v>
      </c>
      <c r="U114" s="236">
        <f t="shared" si="14"/>
        <v>0</v>
      </c>
      <c r="V114" s="236">
        <f t="shared" si="15"/>
        <v>-66270</v>
      </c>
      <c r="W114" s="237">
        <f t="shared" si="16"/>
        <v>-1</v>
      </c>
      <c r="X114" s="237"/>
    </row>
    <row r="115" spans="1:24" x14ac:dyDescent="0.25">
      <c r="A115" s="152" t="s">
        <v>215</v>
      </c>
      <c r="B115" s="110" t="s">
        <v>385</v>
      </c>
      <c r="C115" s="351" t="s">
        <v>384</v>
      </c>
      <c r="D115" s="350">
        <v>4</v>
      </c>
      <c r="E115" s="349">
        <v>3000</v>
      </c>
      <c r="F115" s="276">
        <f>D115*E115</f>
        <v>12000</v>
      </c>
      <c r="G115" s="35">
        <f>F115*C4</f>
        <v>16920</v>
      </c>
      <c r="H115" s="239"/>
      <c r="I115" s="239"/>
      <c r="J115" s="239"/>
      <c r="K115" s="239"/>
      <c r="L115" s="239"/>
      <c r="M115" s="239"/>
      <c r="N115" s="239"/>
      <c r="O115" s="239"/>
      <c r="P115" s="239"/>
      <c r="Q115" s="250"/>
      <c r="R115" s="261"/>
      <c r="S115" s="222">
        <f t="shared" si="12"/>
        <v>-12000</v>
      </c>
      <c r="T115" s="228">
        <f t="shared" si="13"/>
        <v>-1</v>
      </c>
      <c r="U115" s="222">
        <f t="shared" si="14"/>
        <v>0</v>
      </c>
      <c r="V115" s="222">
        <f t="shared" si="15"/>
        <v>-16920</v>
      </c>
      <c r="W115" s="228">
        <f t="shared" si="16"/>
        <v>-1</v>
      </c>
      <c r="X115" s="228"/>
    </row>
    <row r="116" spans="1:24" x14ac:dyDescent="0.25">
      <c r="A116" s="152" t="s">
        <v>216</v>
      </c>
      <c r="B116" s="110" t="s">
        <v>383</v>
      </c>
      <c r="C116" s="351" t="s">
        <v>382</v>
      </c>
      <c r="D116" s="350">
        <v>12</v>
      </c>
      <c r="E116" s="349">
        <v>500</v>
      </c>
      <c r="F116" s="276">
        <f>D116*E116</f>
        <v>6000</v>
      </c>
      <c r="G116" s="35">
        <f>F116*C4</f>
        <v>8460</v>
      </c>
      <c r="H116" s="239"/>
      <c r="I116" s="239"/>
      <c r="J116" s="239"/>
      <c r="K116" s="239"/>
      <c r="L116" s="239"/>
      <c r="M116" s="239"/>
      <c r="N116" s="239"/>
      <c r="O116" s="239"/>
      <c r="P116" s="239"/>
      <c r="Q116" s="250"/>
      <c r="R116" s="261"/>
      <c r="S116" s="222">
        <f t="shared" si="12"/>
        <v>-6000</v>
      </c>
      <c r="T116" s="228">
        <f t="shared" si="13"/>
        <v>-1</v>
      </c>
      <c r="U116" s="222">
        <f t="shared" si="14"/>
        <v>0</v>
      </c>
      <c r="V116" s="222">
        <f t="shared" si="15"/>
        <v>-8460</v>
      </c>
      <c r="W116" s="228">
        <f t="shared" si="16"/>
        <v>-1</v>
      </c>
      <c r="X116" s="228"/>
    </row>
    <row r="117" spans="1:24" x14ac:dyDescent="0.25">
      <c r="A117" s="152" t="s">
        <v>217</v>
      </c>
      <c r="B117" s="110" t="s">
        <v>381</v>
      </c>
      <c r="C117" s="351" t="s">
        <v>380</v>
      </c>
      <c r="D117" s="350">
        <v>2500</v>
      </c>
      <c r="E117" s="349">
        <v>10</v>
      </c>
      <c r="F117" s="276">
        <f>D117*E117</f>
        <v>25000</v>
      </c>
      <c r="G117" s="35">
        <f>F117*C4</f>
        <v>35250</v>
      </c>
      <c r="H117" s="239"/>
      <c r="I117" s="239"/>
      <c r="J117" s="239"/>
      <c r="K117" s="239"/>
      <c r="L117" s="239"/>
      <c r="M117" s="239"/>
      <c r="N117" s="239"/>
      <c r="O117" s="239"/>
      <c r="P117" s="239"/>
      <c r="Q117" s="250"/>
      <c r="R117" s="261"/>
      <c r="S117" s="222">
        <f t="shared" si="12"/>
        <v>-25000</v>
      </c>
      <c r="T117" s="228">
        <f t="shared" si="13"/>
        <v>-1</v>
      </c>
      <c r="U117" s="222">
        <f t="shared" si="14"/>
        <v>0</v>
      </c>
      <c r="V117" s="222">
        <f t="shared" si="15"/>
        <v>-35250</v>
      </c>
      <c r="W117" s="228">
        <f t="shared" si="16"/>
        <v>-1</v>
      </c>
      <c r="X117" s="228"/>
    </row>
    <row r="118" spans="1:24" x14ac:dyDescent="0.25">
      <c r="A118" s="152" t="s">
        <v>218</v>
      </c>
      <c r="B118" s="110" t="s">
        <v>379</v>
      </c>
      <c r="C118" s="351" t="s">
        <v>328</v>
      </c>
      <c r="D118" s="350">
        <v>8</v>
      </c>
      <c r="E118" s="349">
        <v>500</v>
      </c>
      <c r="F118" s="276">
        <f>D118*E118</f>
        <v>4000</v>
      </c>
      <c r="G118" s="35">
        <f>F118*C4</f>
        <v>5640</v>
      </c>
      <c r="H118" s="239"/>
      <c r="I118" s="239"/>
      <c r="J118" s="239"/>
      <c r="K118" s="239"/>
      <c r="L118" s="239"/>
      <c r="M118" s="239"/>
      <c r="N118" s="239"/>
      <c r="O118" s="239"/>
      <c r="P118" s="239"/>
      <c r="Q118" s="250"/>
      <c r="R118" s="261"/>
      <c r="S118" s="222">
        <f t="shared" si="12"/>
        <v>-4000</v>
      </c>
      <c r="T118" s="228">
        <f t="shared" si="13"/>
        <v>-1</v>
      </c>
      <c r="U118" s="222">
        <f t="shared" si="14"/>
        <v>0</v>
      </c>
      <c r="V118" s="222">
        <f t="shared" si="15"/>
        <v>-5640</v>
      </c>
      <c r="W118" s="228">
        <f t="shared" si="16"/>
        <v>-1</v>
      </c>
      <c r="X118" s="228"/>
    </row>
    <row r="119" spans="1:24" hidden="1" x14ac:dyDescent="0.25">
      <c r="A119" s="152" t="s">
        <v>219</v>
      </c>
      <c r="B119" s="110" t="s">
        <v>271</v>
      </c>
      <c r="C119" s="351"/>
      <c r="D119" s="350"/>
      <c r="E119" s="349"/>
      <c r="F119" s="276">
        <f>D119*E119</f>
        <v>0</v>
      </c>
      <c r="G119" s="35">
        <f>F119*C4</f>
        <v>0</v>
      </c>
      <c r="H119" s="239"/>
      <c r="I119" s="239"/>
      <c r="J119" s="239"/>
      <c r="K119" s="239"/>
      <c r="L119" s="239"/>
      <c r="M119" s="239"/>
      <c r="N119" s="239"/>
      <c r="O119" s="239"/>
      <c r="P119" s="239"/>
      <c r="Q119" s="250"/>
      <c r="R119" s="261"/>
      <c r="S119" s="222">
        <f t="shared" si="12"/>
        <v>0</v>
      </c>
      <c r="T119" s="228">
        <f t="shared" si="13"/>
        <v>0</v>
      </c>
      <c r="U119" s="222">
        <f t="shared" si="14"/>
        <v>0</v>
      </c>
      <c r="V119" s="222">
        <f t="shared" si="15"/>
        <v>0</v>
      </c>
      <c r="W119" s="228">
        <f t="shared" si="16"/>
        <v>0</v>
      </c>
      <c r="X119" s="228"/>
    </row>
    <row r="120" spans="1:24" x14ac:dyDescent="0.25">
      <c r="A120" s="217" t="s">
        <v>104</v>
      </c>
      <c r="B120" s="218" t="s">
        <v>73</v>
      </c>
      <c r="C120" s="355"/>
      <c r="D120" s="354"/>
      <c r="E120" s="353"/>
      <c r="F120" s="352">
        <f>SUM(F121:F127)</f>
        <v>37000</v>
      </c>
      <c r="G120" s="212">
        <f>SUM(G121:G127)</f>
        <v>52170</v>
      </c>
      <c r="H120" s="239"/>
      <c r="I120" s="239"/>
      <c r="J120" s="239"/>
      <c r="K120" s="239"/>
      <c r="L120" s="239"/>
      <c r="M120" s="239"/>
      <c r="N120" s="239"/>
      <c r="O120" s="239"/>
      <c r="P120" s="239"/>
      <c r="Q120" s="250"/>
      <c r="R120" s="261"/>
      <c r="S120" s="236">
        <f t="shared" si="12"/>
        <v>-37000</v>
      </c>
      <c r="T120" s="237">
        <f t="shared" si="13"/>
        <v>-1</v>
      </c>
      <c r="U120" s="236">
        <f t="shared" si="14"/>
        <v>0</v>
      </c>
      <c r="V120" s="236">
        <f t="shared" si="15"/>
        <v>-52170</v>
      </c>
      <c r="W120" s="237">
        <f t="shared" si="16"/>
        <v>-1</v>
      </c>
      <c r="X120" s="237"/>
    </row>
    <row r="121" spans="1:24" x14ac:dyDescent="0.25">
      <c r="A121" s="152" t="s">
        <v>220</v>
      </c>
      <c r="B121" s="110" t="s">
        <v>378</v>
      </c>
      <c r="C121" s="351" t="s">
        <v>328</v>
      </c>
      <c r="D121" s="350">
        <v>12</v>
      </c>
      <c r="E121" s="349">
        <v>500</v>
      </c>
      <c r="F121" s="276">
        <f t="shared" ref="F121:F127" si="17">D121*E121</f>
        <v>6000</v>
      </c>
      <c r="G121" s="35">
        <f>F121*C4</f>
        <v>8460</v>
      </c>
      <c r="H121" s="239"/>
      <c r="I121" s="239"/>
      <c r="J121" s="239"/>
      <c r="K121" s="239"/>
      <c r="L121" s="239"/>
      <c r="M121" s="239"/>
      <c r="N121" s="239"/>
      <c r="O121" s="239"/>
      <c r="P121" s="239"/>
      <c r="Q121" s="250"/>
      <c r="R121" s="261"/>
      <c r="S121" s="222">
        <f t="shared" si="12"/>
        <v>-6000</v>
      </c>
      <c r="T121" s="228">
        <f t="shared" si="13"/>
        <v>-1</v>
      </c>
      <c r="U121" s="222">
        <f t="shared" si="14"/>
        <v>0</v>
      </c>
      <c r="V121" s="222">
        <f t="shared" si="15"/>
        <v>-8460</v>
      </c>
      <c r="W121" s="228">
        <f t="shared" si="16"/>
        <v>-1</v>
      </c>
      <c r="X121" s="228"/>
    </row>
    <row r="122" spans="1:24" x14ac:dyDescent="0.25">
      <c r="A122" s="152" t="s">
        <v>221</v>
      </c>
      <c r="B122" s="110" t="s">
        <v>377</v>
      </c>
      <c r="C122" s="351" t="s">
        <v>328</v>
      </c>
      <c r="D122" s="350">
        <v>12</v>
      </c>
      <c r="E122" s="349">
        <v>500</v>
      </c>
      <c r="F122" s="276">
        <f t="shared" si="17"/>
        <v>6000</v>
      </c>
      <c r="G122" s="35">
        <f>F122*C4</f>
        <v>8460</v>
      </c>
      <c r="H122" s="239"/>
      <c r="I122" s="239"/>
      <c r="J122" s="239"/>
      <c r="K122" s="239"/>
      <c r="L122" s="239"/>
      <c r="M122" s="239"/>
      <c r="N122" s="239"/>
      <c r="O122" s="239"/>
      <c r="P122" s="239"/>
      <c r="Q122" s="250"/>
      <c r="R122" s="261"/>
      <c r="S122" s="222">
        <f t="shared" si="12"/>
        <v>-6000</v>
      </c>
      <c r="T122" s="228">
        <f t="shared" si="13"/>
        <v>-1</v>
      </c>
      <c r="U122" s="222">
        <f t="shared" si="14"/>
        <v>0</v>
      </c>
      <c r="V122" s="222">
        <f t="shared" si="15"/>
        <v>-8460</v>
      </c>
      <c r="W122" s="228">
        <f t="shared" si="16"/>
        <v>-1</v>
      </c>
      <c r="X122" s="228"/>
    </row>
    <row r="123" spans="1:24" x14ac:dyDescent="0.25">
      <c r="A123" s="152" t="s">
        <v>376</v>
      </c>
      <c r="B123" s="110" t="s">
        <v>375</v>
      </c>
      <c r="C123" s="351" t="s">
        <v>328</v>
      </c>
      <c r="D123" s="350">
        <v>12</v>
      </c>
      <c r="E123" s="349">
        <v>500</v>
      </c>
      <c r="F123" s="276">
        <f t="shared" si="17"/>
        <v>6000</v>
      </c>
      <c r="G123" s="35">
        <f>F123*C4</f>
        <v>8460</v>
      </c>
      <c r="H123" s="239"/>
      <c r="I123" s="239"/>
      <c r="J123" s="239"/>
      <c r="K123" s="239"/>
      <c r="L123" s="239"/>
      <c r="M123" s="239"/>
      <c r="N123" s="239"/>
      <c r="O123" s="239"/>
      <c r="P123" s="239"/>
      <c r="Q123" s="250"/>
      <c r="R123" s="261"/>
      <c r="S123" s="222">
        <f t="shared" si="12"/>
        <v>-6000</v>
      </c>
      <c r="T123" s="228">
        <f t="shared" si="13"/>
        <v>-1</v>
      </c>
      <c r="U123" s="222"/>
      <c r="V123" s="222"/>
      <c r="W123" s="228"/>
      <c r="X123" s="228"/>
    </row>
    <row r="124" spans="1:24" x14ac:dyDescent="0.25">
      <c r="A124" s="152" t="s">
        <v>374</v>
      </c>
      <c r="B124" s="110" t="s">
        <v>373</v>
      </c>
      <c r="C124" s="351" t="s">
        <v>328</v>
      </c>
      <c r="D124" s="350">
        <v>12</v>
      </c>
      <c r="E124" s="349">
        <v>500</v>
      </c>
      <c r="F124" s="276">
        <f t="shared" si="17"/>
        <v>6000</v>
      </c>
      <c r="G124" s="35">
        <f>F124*C4</f>
        <v>8460</v>
      </c>
      <c r="H124" s="239"/>
      <c r="I124" s="239"/>
      <c r="J124" s="239"/>
      <c r="K124" s="239"/>
      <c r="L124" s="239"/>
      <c r="M124" s="239"/>
      <c r="N124" s="239"/>
      <c r="O124" s="239"/>
      <c r="P124" s="239"/>
      <c r="Q124" s="250"/>
      <c r="R124" s="261"/>
      <c r="S124" s="222">
        <f t="shared" si="12"/>
        <v>-6000</v>
      </c>
      <c r="T124" s="228">
        <f t="shared" si="13"/>
        <v>-1</v>
      </c>
      <c r="U124" s="222"/>
      <c r="V124" s="222"/>
      <c r="W124" s="228"/>
      <c r="X124" s="228"/>
    </row>
    <row r="125" spans="1:24" x14ac:dyDescent="0.25">
      <c r="A125" s="152" t="s">
        <v>372</v>
      </c>
      <c r="B125" s="110" t="s">
        <v>371</v>
      </c>
      <c r="C125" s="351" t="s">
        <v>328</v>
      </c>
      <c r="D125" s="350">
        <v>12</v>
      </c>
      <c r="E125" s="349">
        <v>500</v>
      </c>
      <c r="F125" s="276">
        <f t="shared" si="17"/>
        <v>6000</v>
      </c>
      <c r="G125" s="35">
        <f>F125*C4</f>
        <v>8460</v>
      </c>
      <c r="H125" s="239"/>
      <c r="I125" s="239"/>
      <c r="J125" s="239"/>
      <c r="K125" s="239"/>
      <c r="L125" s="239"/>
      <c r="M125" s="239"/>
      <c r="N125" s="239"/>
      <c r="O125" s="239"/>
      <c r="P125" s="239"/>
      <c r="Q125" s="250"/>
      <c r="R125" s="261"/>
      <c r="S125" s="222">
        <f t="shared" si="12"/>
        <v>-6000</v>
      </c>
      <c r="T125" s="228">
        <f t="shared" si="13"/>
        <v>-1</v>
      </c>
      <c r="U125" s="222">
        <f t="shared" ref="U125:U131" si="18">R125*$C$4</f>
        <v>0</v>
      </c>
      <c r="V125" s="222">
        <f t="shared" ref="V125:V131" si="19">U125-G125</f>
        <v>-8460</v>
      </c>
      <c r="W125" s="228">
        <f t="shared" ref="W125:W131" si="20">IF(G125=0,0,V125/G125)</f>
        <v>-1</v>
      </c>
      <c r="X125" s="228"/>
    </row>
    <row r="126" spans="1:24" x14ac:dyDescent="0.25">
      <c r="A126" s="152" t="s">
        <v>370</v>
      </c>
      <c r="B126" s="110" t="s">
        <v>369</v>
      </c>
      <c r="C126" s="351" t="s">
        <v>328</v>
      </c>
      <c r="D126" s="350">
        <v>8</v>
      </c>
      <c r="E126" s="349">
        <v>500</v>
      </c>
      <c r="F126" s="276">
        <f t="shared" si="17"/>
        <v>4000</v>
      </c>
      <c r="G126" s="35">
        <f>F126*C4</f>
        <v>5640</v>
      </c>
      <c r="H126" s="239"/>
      <c r="I126" s="239"/>
      <c r="J126" s="239"/>
      <c r="K126" s="239"/>
      <c r="L126" s="239"/>
      <c r="M126" s="239"/>
      <c r="N126" s="239"/>
      <c r="O126" s="239"/>
      <c r="P126" s="239"/>
      <c r="Q126" s="250"/>
      <c r="R126" s="261"/>
      <c r="S126" s="222">
        <f t="shared" si="12"/>
        <v>-4000</v>
      </c>
      <c r="T126" s="228">
        <f t="shared" si="13"/>
        <v>-1</v>
      </c>
      <c r="U126" s="222">
        <f t="shared" si="18"/>
        <v>0</v>
      </c>
      <c r="V126" s="222">
        <f t="shared" si="19"/>
        <v>-5640</v>
      </c>
      <c r="W126" s="228">
        <f t="shared" si="20"/>
        <v>-1</v>
      </c>
      <c r="X126" s="228"/>
    </row>
    <row r="127" spans="1:24" x14ac:dyDescent="0.25">
      <c r="A127" s="152" t="s">
        <v>368</v>
      </c>
      <c r="B127" s="110" t="s">
        <v>367</v>
      </c>
      <c r="C127" s="351" t="s">
        <v>328</v>
      </c>
      <c r="D127" s="350">
        <v>2</v>
      </c>
      <c r="E127" s="349">
        <v>1500</v>
      </c>
      <c r="F127" s="276">
        <f t="shared" si="17"/>
        <v>3000</v>
      </c>
      <c r="G127" s="35">
        <f>F127*C4</f>
        <v>4230</v>
      </c>
      <c r="H127" s="239"/>
      <c r="I127" s="239"/>
      <c r="J127" s="239"/>
      <c r="K127" s="239"/>
      <c r="L127" s="239"/>
      <c r="M127" s="239"/>
      <c r="N127" s="239"/>
      <c r="O127" s="239"/>
      <c r="P127" s="239"/>
      <c r="Q127" s="250"/>
      <c r="R127" s="261"/>
      <c r="S127" s="222">
        <f t="shared" si="12"/>
        <v>-3000</v>
      </c>
      <c r="T127" s="228">
        <f t="shared" si="13"/>
        <v>-1</v>
      </c>
      <c r="U127" s="222">
        <f t="shared" si="18"/>
        <v>0</v>
      </c>
      <c r="V127" s="222">
        <f t="shared" si="19"/>
        <v>-4230</v>
      </c>
      <c r="W127" s="228">
        <f t="shared" si="20"/>
        <v>-1</v>
      </c>
      <c r="X127" s="228"/>
    </row>
    <row r="128" spans="1:24" x14ac:dyDescent="0.25">
      <c r="A128" s="217" t="s">
        <v>105</v>
      </c>
      <c r="B128" s="218" t="s">
        <v>58</v>
      </c>
      <c r="C128" s="355"/>
      <c r="D128" s="354"/>
      <c r="E128" s="353"/>
      <c r="F128" s="352">
        <f>SUM(F129:F144)</f>
        <v>340540</v>
      </c>
      <c r="G128" s="212">
        <f>SUM(G129:G144)</f>
        <v>480161.4</v>
      </c>
      <c r="H128" s="239"/>
      <c r="I128" s="239"/>
      <c r="J128" s="239"/>
      <c r="K128" s="239"/>
      <c r="L128" s="239"/>
      <c r="M128" s="239"/>
      <c r="N128" s="239"/>
      <c r="O128" s="239"/>
      <c r="P128" s="239"/>
      <c r="Q128" s="250"/>
      <c r="R128" s="261"/>
      <c r="S128" s="236">
        <f t="shared" si="12"/>
        <v>-340540</v>
      </c>
      <c r="T128" s="237">
        <f t="shared" si="13"/>
        <v>-1</v>
      </c>
      <c r="U128" s="236">
        <f t="shared" si="18"/>
        <v>0</v>
      </c>
      <c r="V128" s="236">
        <f t="shared" si="19"/>
        <v>-480161.4</v>
      </c>
      <c r="W128" s="237">
        <f t="shared" si="20"/>
        <v>-1</v>
      </c>
      <c r="X128" s="237"/>
    </row>
    <row r="129" spans="1:24" x14ac:dyDescent="0.25">
      <c r="A129" s="152" t="s">
        <v>225</v>
      </c>
      <c r="B129" s="110" t="s">
        <v>366</v>
      </c>
      <c r="C129" s="351" t="s">
        <v>328</v>
      </c>
      <c r="D129" s="350">
        <v>12</v>
      </c>
      <c r="E129" s="349">
        <v>500</v>
      </c>
      <c r="F129" s="276">
        <f t="shared" ref="F129:F144" si="21">D129*E129</f>
        <v>6000</v>
      </c>
      <c r="G129" s="35">
        <f>F129*C4</f>
        <v>8460</v>
      </c>
      <c r="H129" s="239"/>
      <c r="I129" s="239"/>
      <c r="J129" s="239"/>
      <c r="K129" s="239"/>
      <c r="L129" s="239"/>
      <c r="M129" s="239"/>
      <c r="N129" s="239"/>
      <c r="O129" s="239"/>
      <c r="P129" s="239"/>
      <c r="Q129" s="250"/>
      <c r="R129" s="261"/>
      <c r="S129" s="222">
        <f t="shared" si="12"/>
        <v>-6000</v>
      </c>
      <c r="T129" s="228">
        <f t="shared" si="13"/>
        <v>-1</v>
      </c>
      <c r="U129" s="222">
        <f t="shared" si="18"/>
        <v>0</v>
      </c>
      <c r="V129" s="222">
        <f t="shared" si="19"/>
        <v>-8460</v>
      </c>
      <c r="W129" s="228">
        <f t="shared" si="20"/>
        <v>-1</v>
      </c>
      <c r="X129" s="228"/>
    </row>
    <row r="130" spans="1:24" x14ac:dyDescent="0.25">
      <c r="A130" s="152" t="s">
        <v>226</v>
      </c>
      <c r="B130" s="110" t="s">
        <v>365</v>
      </c>
      <c r="C130" s="351" t="s">
        <v>328</v>
      </c>
      <c r="D130" s="350">
        <v>12</v>
      </c>
      <c r="E130" s="349">
        <v>5000</v>
      </c>
      <c r="F130" s="276">
        <f t="shared" si="21"/>
        <v>60000</v>
      </c>
      <c r="G130" s="35">
        <f>F130*C4</f>
        <v>84600</v>
      </c>
      <c r="H130" s="239"/>
      <c r="I130" s="239"/>
      <c r="J130" s="239"/>
      <c r="K130" s="239"/>
      <c r="L130" s="239"/>
      <c r="M130" s="239"/>
      <c r="N130" s="239"/>
      <c r="O130" s="239"/>
      <c r="P130" s="239"/>
      <c r="Q130" s="250"/>
      <c r="R130" s="261"/>
      <c r="S130" s="222">
        <f t="shared" si="12"/>
        <v>-60000</v>
      </c>
      <c r="T130" s="228">
        <f t="shared" si="13"/>
        <v>-1</v>
      </c>
      <c r="U130" s="222">
        <f t="shared" si="18"/>
        <v>0</v>
      </c>
      <c r="V130" s="222">
        <f t="shared" si="19"/>
        <v>-84600</v>
      </c>
      <c r="W130" s="228">
        <f t="shared" si="20"/>
        <v>-1</v>
      </c>
      <c r="X130" s="228"/>
    </row>
    <row r="131" spans="1:24" x14ac:dyDescent="0.25">
      <c r="A131" s="152" t="s">
        <v>227</v>
      </c>
      <c r="B131" s="110" t="s">
        <v>364</v>
      </c>
      <c r="C131" s="351" t="s">
        <v>363</v>
      </c>
      <c r="D131" s="350">
        <v>10</v>
      </c>
      <c r="E131" s="349">
        <v>20520</v>
      </c>
      <c r="F131" s="276">
        <f t="shared" si="21"/>
        <v>205200</v>
      </c>
      <c r="G131" s="35">
        <f>F131*C4</f>
        <v>289332</v>
      </c>
      <c r="H131" s="239"/>
      <c r="I131" s="239"/>
      <c r="J131" s="239"/>
      <c r="K131" s="239"/>
      <c r="L131" s="239"/>
      <c r="M131" s="239"/>
      <c r="N131" s="239"/>
      <c r="O131" s="239"/>
      <c r="P131" s="239"/>
      <c r="Q131" s="250"/>
      <c r="R131" s="261"/>
      <c r="S131" s="222">
        <f t="shared" si="12"/>
        <v>-205200</v>
      </c>
      <c r="T131" s="228">
        <f t="shared" si="13"/>
        <v>-1</v>
      </c>
      <c r="U131" s="222">
        <f t="shared" si="18"/>
        <v>0</v>
      </c>
      <c r="V131" s="222">
        <f t="shared" si="19"/>
        <v>-289332</v>
      </c>
      <c r="W131" s="228">
        <f t="shared" si="20"/>
        <v>-1</v>
      </c>
      <c r="X131" s="228"/>
    </row>
    <row r="132" spans="1:24" x14ac:dyDescent="0.25">
      <c r="A132" s="152" t="s">
        <v>362</v>
      </c>
      <c r="B132" s="110" t="s">
        <v>361</v>
      </c>
      <c r="C132" s="351" t="s">
        <v>360</v>
      </c>
      <c r="D132" s="350">
        <v>0</v>
      </c>
      <c r="E132" s="349">
        <v>0</v>
      </c>
      <c r="F132" s="276">
        <f t="shared" si="21"/>
        <v>0</v>
      </c>
      <c r="G132" s="35">
        <f>F132*C4</f>
        <v>0</v>
      </c>
      <c r="H132" s="239"/>
      <c r="I132" s="239"/>
      <c r="J132" s="239"/>
      <c r="K132" s="239"/>
      <c r="L132" s="239"/>
      <c r="M132" s="239"/>
      <c r="N132" s="239"/>
      <c r="O132" s="239"/>
      <c r="P132" s="239"/>
      <c r="Q132" s="250"/>
      <c r="R132" s="261"/>
      <c r="S132" s="222">
        <f t="shared" si="12"/>
        <v>0</v>
      </c>
      <c r="T132" s="228">
        <f t="shared" si="13"/>
        <v>0</v>
      </c>
      <c r="U132" s="222"/>
      <c r="V132" s="222"/>
      <c r="W132" s="228"/>
      <c r="X132" s="228"/>
    </row>
    <row r="133" spans="1:24" x14ac:dyDescent="0.25">
      <c r="A133" s="152"/>
      <c r="B133" s="110" t="s">
        <v>359</v>
      </c>
      <c r="C133" s="351" t="s">
        <v>358</v>
      </c>
      <c r="D133" s="350">
        <v>2</v>
      </c>
      <c r="E133" s="349">
        <v>1000</v>
      </c>
      <c r="F133" s="276">
        <f t="shared" si="21"/>
        <v>2000</v>
      </c>
      <c r="G133" s="35">
        <f>F133*C4</f>
        <v>2820</v>
      </c>
      <c r="H133" s="239"/>
      <c r="I133" s="239"/>
      <c r="J133" s="239"/>
      <c r="K133" s="239"/>
      <c r="L133" s="239"/>
      <c r="M133" s="239"/>
      <c r="N133" s="239"/>
      <c r="O133" s="239"/>
      <c r="P133" s="239"/>
      <c r="Q133" s="250"/>
      <c r="R133" s="261"/>
      <c r="S133" s="222">
        <f t="shared" si="12"/>
        <v>-2000</v>
      </c>
      <c r="T133" s="228">
        <f t="shared" si="13"/>
        <v>-1</v>
      </c>
      <c r="U133" s="222"/>
      <c r="V133" s="222"/>
      <c r="W133" s="228"/>
      <c r="X133" s="228"/>
    </row>
    <row r="134" spans="1:24" x14ac:dyDescent="0.25">
      <c r="A134" s="152"/>
      <c r="B134" s="110" t="s">
        <v>357</v>
      </c>
      <c r="C134" s="351" t="s">
        <v>328</v>
      </c>
      <c r="D134" s="350">
        <v>2</v>
      </c>
      <c r="E134" s="349">
        <v>1000</v>
      </c>
      <c r="F134" s="276">
        <f t="shared" si="21"/>
        <v>2000</v>
      </c>
      <c r="G134" s="35">
        <f>F134*C4</f>
        <v>2820</v>
      </c>
      <c r="H134" s="239"/>
      <c r="I134" s="239"/>
      <c r="J134" s="239"/>
      <c r="K134" s="239"/>
      <c r="L134" s="239"/>
      <c r="M134" s="239"/>
      <c r="N134" s="239"/>
      <c r="O134" s="239"/>
      <c r="P134" s="239"/>
      <c r="Q134" s="250"/>
      <c r="R134" s="261"/>
      <c r="S134" s="222">
        <f t="shared" si="12"/>
        <v>-2000</v>
      </c>
      <c r="T134" s="228">
        <f t="shared" si="13"/>
        <v>-1</v>
      </c>
      <c r="U134" s="222"/>
      <c r="V134" s="222"/>
      <c r="W134" s="228"/>
      <c r="X134" s="228"/>
    </row>
    <row r="135" spans="1:24" x14ac:dyDescent="0.25">
      <c r="A135" s="152"/>
      <c r="B135" s="110" t="s">
        <v>356</v>
      </c>
      <c r="C135" s="351" t="s">
        <v>326</v>
      </c>
      <c r="D135" s="350">
        <v>2</v>
      </c>
      <c r="E135" s="349">
        <v>1500</v>
      </c>
      <c r="F135" s="276">
        <f t="shared" si="21"/>
        <v>3000</v>
      </c>
      <c r="G135" s="35">
        <f>F135*C4</f>
        <v>4230</v>
      </c>
      <c r="H135" s="239"/>
      <c r="I135" s="239"/>
      <c r="J135" s="239"/>
      <c r="K135" s="239"/>
      <c r="L135" s="239"/>
      <c r="M135" s="239"/>
      <c r="N135" s="239"/>
      <c r="O135" s="239"/>
      <c r="P135" s="239"/>
      <c r="Q135" s="250"/>
      <c r="R135" s="261"/>
      <c r="S135" s="222">
        <f t="shared" si="12"/>
        <v>-3000</v>
      </c>
      <c r="T135" s="228">
        <f t="shared" si="13"/>
        <v>-1</v>
      </c>
      <c r="U135" s="222"/>
      <c r="V135" s="222"/>
      <c r="W135" s="228"/>
      <c r="X135" s="228"/>
    </row>
    <row r="136" spans="1:24" x14ac:dyDescent="0.25">
      <c r="A136" s="152"/>
      <c r="B136" s="110" t="s">
        <v>355</v>
      </c>
      <c r="C136" s="351" t="s">
        <v>314</v>
      </c>
      <c r="D136" s="350">
        <v>3</v>
      </c>
      <c r="E136" s="349">
        <v>700</v>
      </c>
      <c r="F136" s="276">
        <f t="shared" si="21"/>
        <v>2100</v>
      </c>
      <c r="G136" s="35">
        <f>F136*C4</f>
        <v>2961</v>
      </c>
      <c r="H136" s="239"/>
      <c r="I136" s="239"/>
      <c r="J136" s="239"/>
      <c r="K136" s="239"/>
      <c r="L136" s="239"/>
      <c r="M136" s="239"/>
      <c r="N136" s="239"/>
      <c r="O136" s="239"/>
      <c r="P136" s="239"/>
      <c r="Q136" s="250"/>
      <c r="R136" s="261"/>
      <c r="S136" s="222"/>
      <c r="T136" s="228"/>
      <c r="U136" s="222"/>
      <c r="V136" s="222"/>
      <c r="W136" s="228"/>
      <c r="X136" s="228"/>
    </row>
    <row r="137" spans="1:24" x14ac:dyDescent="0.25">
      <c r="A137" s="152"/>
      <c r="B137" s="110" t="s">
        <v>354</v>
      </c>
      <c r="C137" s="351" t="s">
        <v>353</v>
      </c>
      <c r="D137" s="350">
        <v>60</v>
      </c>
      <c r="E137" s="349">
        <v>450</v>
      </c>
      <c r="F137" s="276">
        <f t="shared" si="21"/>
        <v>27000</v>
      </c>
      <c r="G137" s="35">
        <f>F137*C4</f>
        <v>38070</v>
      </c>
      <c r="H137" s="239"/>
      <c r="I137" s="239"/>
      <c r="J137" s="239"/>
      <c r="K137" s="239"/>
      <c r="L137" s="239"/>
      <c r="M137" s="239"/>
      <c r="N137" s="239"/>
      <c r="O137" s="239"/>
      <c r="P137" s="239"/>
      <c r="Q137" s="250"/>
      <c r="R137" s="261"/>
      <c r="S137" s="222">
        <f t="shared" ref="S137:S142" si="22">R137-F137</f>
        <v>-27000</v>
      </c>
      <c r="T137" s="228">
        <f t="shared" ref="T137:T142" si="23">IF(F137=0,0,S137/F137)</f>
        <v>-1</v>
      </c>
      <c r="U137" s="222"/>
      <c r="V137" s="222"/>
      <c r="W137" s="228"/>
      <c r="X137" s="228"/>
    </row>
    <row r="138" spans="1:24" x14ac:dyDescent="0.25">
      <c r="A138" s="152" t="s">
        <v>352</v>
      </c>
      <c r="B138" s="110" t="s">
        <v>351</v>
      </c>
      <c r="C138" s="351" t="s">
        <v>328</v>
      </c>
      <c r="D138" s="350">
        <v>12</v>
      </c>
      <c r="E138" s="349">
        <v>500</v>
      </c>
      <c r="F138" s="276">
        <f t="shared" si="21"/>
        <v>6000</v>
      </c>
      <c r="G138" s="35">
        <f>F138*C4</f>
        <v>8460</v>
      </c>
      <c r="H138" s="239"/>
      <c r="I138" s="239"/>
      <c r="J138" s="239"/>
      <c r="K138" s="239"/>
      <c r="L138" s="239"/>
      <c r="M138" s="239"/>
      <c r="N138" s="239"/>
      <c r="O138" s="239"/>
      <c r="P138" s="239"/>
      <c r="Q138" s="250"/>
      <c r="R138" s="261"/>
      <c r="S138" s="222">
        <f t="shared" si="22"/>
        <v>-6000</v>
      </c>
      <c r="T138" s="228">
        <f t="shared" si="23"/>
        <v>-1</v>
      </c>
      <c r="U138" s="222">
        <f>R138*$C$4</f>
        <v>0</v>
      </c>
      <c r="V138" s="222">
        <f>U138-G138</f>
        <v>-8460</v>
      </c>
      <c r="W138" s="228">
        <f>IF(G138=0,0,V138/G138)</f>
        <v>-1</v>
      </c>
      <c r="X138" s="228"/>
    </row>
    <row r="139" spans="1:24" x14ac:dyDescent="0.25">
      <c r="A139" s="152" t="s">
        <v>350</v>
      </c>
      <c r="B139" s="110" t="s">
        <v>349</v>
      </c>
      <c r="C139" s="351" t="s">
        <v>328</v>
      </c>
      <c r="D139" s="350">
        <v>12</v>
      </c>
      <c r="E139" s="349">
        <v>500</v>
      </c>
      <c r="F139" s="276">
        <f t="shared" si="21"/>
        <v>6000</v>
      </c>
      <c r="G139" s="35">
        <f>F139*C4</f>
        <v>8460</v>
      </c>
      <c r="H139" s="239"/>
      <c r="I139" s="239"/>
      <c r="J139" s="239"/>
      <c r="K139" s="239"/>
      <c r="L139" s="239"/>
      <c r="M139" s="239"/>
      <c r="N139" s="239"/>
      <c r="O139" s="239"/>
      <c r="P139" s="239"/>
      <c r="Q139" s="250"/>
      <c r="R139" s="261"/>
      <c r="S139" s="222">
        <f t="shared" si="22"/>
        <v>-6000</v>
      </c>
      <c r="T139" s="228">
        <f t="shared" si="23"/>
        <v>-1</v>
      </c>
      <c r="U139" s="222">
        <f>R139*$C$4</f>
        <v>0</v>
      </c>
      <c r="V139" s="222">
        <f>U139-G139</f>
        <v>-8460</v>
      </c>
      <c r="W139" s="228">
        <f>IF(G139=0,0,V139/G139)</f>
        <v>-1</v>
      </c>
      <c r="X139" s="228"/>
    </row>
    <row r="140" spans="1:24" x14ac:dyDescent="0.25">
      <c r="A140" s="152" t="s">
        <v>348</v>
      </c>
      <c r="B140" s="110" t="s">
        <v>347</v>
      </c>
      <c r="C140" s="351" t="s">
        <v>328</v>
      </c>
      <c r="D140" s="350">
        <v>12</v>
      </c>
      <c r="E140" s="349">
        <v>500</v>
      </c>
      <c r="F140" s="276">
        <f t="shared" si="21"/>
        <v>6000</v>
      </c>
      <c r="G140" s="35">
        <f>F140*C4</f>
        <v>8460</v>
      </c>
      <c r="H140" s="239"/>
      <c r="I140" s="239"/>
      <c r="J140" s="239"/>
      <c r="K140" s="239"/>
      <c r="L140" s="239"/>
      <c r="M140" s="239"/>
      <c r="N140" s="239"/>
      <c r="O140" s="239"/>
      <c r="P140" s="239"/>
      <c r="Q140" s="250"/>
      <c r="R140" s="261"/>
      <c r="S140" s="222">
        <f t="shared" si="22"/>
        <v>-6000</v>
      </c>
      <c r="T140" s="228">
        <f t="shared" si="23"/>
        <v>-1</v>
      </c>
      <c r="U140" s="222"/>
      <c r="V140" s="222"/>
      <c r="W140" s="228"/>
      <c r="X140" s="228"/>
    </row>
    <row r="141" spans="1:24" x14ac:dyDescent="0.25">
      <c r="A141" s="152" t="s">
        <v>346</v>
      </c>
      <c r="B141" s="110" t="s">
        <v>345</v>
      </c>
      <c r="C141" s="351" t="s">
        <v>328</v>
      </c>
      <c r="D141" s="350">
        <v>2</v>
      </c>
      <c r="E141" s="349">
        <v>1500</v>
      </c>
      <c r="F141" s="276">
        <f t="shared" si="21"/>
        <v>3000</v>
      </c>
      <c r="G141" s="35">
        <f>F141*C4</f>
        <v>4230</v>
      </c>
      <c r="H141" s="239"/>
      <c r="I141" s="239"/>
      <c r="J141" s="239"/>
      <c r="K141" s="239"/>
      <c r="L141" s="239"/>
      <c r="M141" s="239"/>
      <c r="N141" s="239"/>
      <c r="O141" s="239"/>
      <c r="P141" s="239"/>
      <c r="Q141" s="250"/>
      <c r="R141" s="261"/>
      <c r="S141" s="222">
        <f t="shared" si="22"/>
        <v>-3000</v>
      </c>
      <c r="T141" s="228">
        <f t="shared" si="23"/>
        <v>-1</v>
      </c>
      <c r="U141" s="222"/>
      <c r="V141" s="222"/>
      <c r="W141" s="228"/>
      <c r="X141" s="228"/>
    </row>
    <row r="142" spans="1:24" x14ac:dyDescent="0.25">
      <c r="A142" s="152" t="s">
        <v>344</v>
      </c>
      <c r="B142" s="110" t="s">
        <v>343</v>
      </c>
      <c r="C142" s="351" t="s">
        <v>328</v>
      </c>
      <c r="D142" s="350">
        <v>2</v>
      </c>
      <c r="E142" s="349">
        <v>1000</v>
      </c>
      <c r="F142" s="276">
        <f t="shared" si="21"/>
        <v>2000</v>
      </c>
      <c r="G142" s="35">
        <f>F142*C4</f>
        <v>2820</v>
      </c>
      <c r="H142" s="239"/>
      <c r="I142" s="239"/>
      <c r="J142" s="239"/>
      <c r="K142" s="239"/>
      <c r="L142" s="239"/>
      <c r="M142" s="239"/>
      <c r="N142" s="239"/>
      <c r="O142" s="239"/>
      <c r="P142" s="239"/>
      <c r="Q142" s="250"/>
      <c r="R142" s="261"/>
      <c r="S142" s="222">
        <f t="shared" si="22"/>
        <v>-2000</v>
      </c>
      <c r="T142" s="228">
        <f t="shared" si="23"/>
        <v>-1</v>
      </c>
      <c r="U142" s="222"/>
      <c r="V142" s="222"/>
      <c r="W142" s="228"/>
      <c r="X142" s="228"/>
    </row>
    <row r="143" spans="1:24" x14ac:dyDescent="0.25">
      <c r="A143" s="152" t="s">
        <v>342</v>
      </c>
      <c r="B143" s="110" t="s">
        <v>341</v>
      </c>
      <c r="C143" s="351" t="s">
        <v>328</v>
      </c>
      <c r="D143" s="350">
        <v>8</v>
      </c>
      <c r="E143" s="349">
        <v>780</v>
      </c>
      <c r="F143" s="276">
        <f t="shared" si="21"/>
        <v>6240</v>
      </c>
      <c r="G143" s="35">
        <f>F143*C4</f>
        <v>8798.4</v>
      </c>
      <c r="H143" s="239"/>
      <c r="I143" s="239"/>
      <c r="J143" s="239"/>
      <c r="K143" s="239"/>
      <c r="L143" s="239"/>
      <c r="M143" s="239"/>
      <c r="N143" s="239"/>
      <c r="O143" s="239"/>
      <c r="P143" s="239"/>
      <c r="Q143" s="250"/>
      <c r="R143" s="261"/>
      <c r="S143" s="222"/>
      <c r="T143" s="228"/>
      <c r="U143" s="222"/>
      <c r="V143" s="222"/>
      <c r="W143" s="228"/>
      <c r="X143" s="228"/>
    </row>
    <row r="144" spans="1:24" x14ac:dyDescent="0.25">
      <c r="A144" s="152" t="s">
        <v>340</v>
      </c>
      <c r="B144" s="110" t="s">
        <v>339</v>
      </c>
      <c r="C144" s="351" t="s">
        <v>328</v>
      </c>
      <c r="D144" s="350">
        <v>8</v>
      </c>
      <c r="E144" s="349">
        <v>500</v>
      </c>
      <c r="F144" s="276">
        <f t="shared" si="21"/>
        <v>4000</v>
      </c>
      <c r="G144" s="35">
        <f>F144*C4</f>
        <v>5640</v>
      </c>
      <c r="H144" s="239"/>
      <c r="I144" s="239"/>
      <c r="J144" s="239"/>
      <c r="K144" s="239"/>
      <c r="L144" s="239"/>
      <c r="M144" s="239"/>
      <c r="N144" s="239"/>
      <c r="O144" s="239"/>
      <c r="P144" s="239"/>
      <c r="Q144" s="250"/>
      <c r="R144" s="261"/>
      <c r="S144" s="222"/>
      <c r="T144" s="228"/>
      <c r="U144" s="222"/>
      <c r="V144" s="222"/>
      <c r="W144" s="228"/>
      <c r="X144" s="228"/>
    </row>
    <row r="145" spans="1:24" x14ac:dyDescent="0.25">
      <c r="A145" s="217" t="s">
        <v>106</v>
      </c>
      <c r="B145" s="218" t="s">
        <v>57</v>
      </c>
      <c r="C145" s="355"/>
      <c r="D145" s="354"/>
      <c r="E145" s="353"/>
      <c r="F145" s="352">
        <f>SUM(F146:F151)</f>
        <v>28600</v>
      </c>
      <c r="G145" s="212">
        <f>SUM(G146:G151)</f>
        <v>40326</v>
      </c>
      <c r="H145" s="239"/>
      <c r="I145" s="239"/>
      <c r="J145" s="239"/>
      <c r="K145" s="239"/>
      <c r="L145" s="239"/>
      <c r="M145" s="239"/>
      <c r="N145" s="239"/>
      <c r="O145" s="239"/>
      <c r="P145" s="239"/>
      <c r="Q145" s="250"/>
      <c r="R145" s="261"/>
      <c r="S145" s="236">
        <f t="shared" ref="S145:S169" si="24">R145-F145</f>
        <v>-28600</v>
      </c>
      <c r="T145" s="237">
        <f t="shared" ref="T145:T169" si="25">IF(F145=0,0,S145/F145)</f>
        <v>-1</v>
      </c>
      <c r="U145" s="236">
        <f>R145*$C$4</f>
        <v>0</v>
      </c>
      <c r="V145" s="236">
        <f>U145-G145</f>
        <v>-40326</v>
      </c>
      <c r="W145" s="237">
        <f>IF(G145=0,0,V145/G145)</f>
        <v>-1</v>
      </c>
      <c r="X145" s="237"/>
    </row>
    <row r="146" spans="1:24" x14ac:dyDescent="0.25">
      <c r="A146" s="152" t="s">
        <v>230</v>
      </c>
      <c r="B146" s="110" t="s">
        <v>338</v>
      </c>
      <c r="C146" s="351" t="s">
        <v>328</v>
      </c>
      <c r="D146" s="350">
        <v>12</v>
      </c>
      <c r="E146" s="349">
        <v>300</v>
      </c>
      <c r="F146" s="276">
        <f t="shared" ref="F146:F151" si="26">D146*E146</f>
        <v>3600</v>
      </c>
      <c r="G146" s="35">
        <f>F146*C4</f>
        <v>5076</v>
      </c>
      <c r="H146" s="239"/>
      <c r="I146" s="239"/>
      <c r="J146" s="239"/>
      <c r="K146" s="239"/>
      <c r="L146" s="239"/>
      <c r="M146" s="239"/>
      <c r="N146" s="239"/>
      <c r="O146" s="239"/>
      <c r="P146" s="239"/>
      <c r="Q146" s="250"/>
      <c r="R146" s="261"/>
      <c r="S146" s="222">
        <f t="shared" si="24"/>
        <v>-3600</v>
      </c>
      <c r="T146" s="228">
        <f t="shared" si="25"/>
        <v>-1</v>
      </c>
      <c r="U146" s="222">
        <f>R146*$C$4</f>
        <v>0</v>
      </c>
      <c r="V146" s="222">
        <f>U146-G146</f>
        <v>-5076</v>
      </c>
      <c r="W146" s="228">
        <f>IF(G146=0,0,V146/G146)</f>
        <v>-1</v>
      </c>
      <c r="X146" s="228"/>
    </row>
    <row r="147" spans="1:24" x14ac:dyDescent="0.25">
      <c r="A147" s="152" t="s">
        <v>231</v>
      </c>
      <c r="B147" s="110" t="s">
        <v>337</v>
      </c>
      <c r="C147" s="351" t="s">
        <v>328</v>
      </c>
      <c r="D147" s="350">
        <v>12</v>
      </c>
      <c r="E147" s="349">
        <v>500</v>
      </c>
      <c r="F147" s="276">
        <f t="shared" si="26"/>
        <v>6000</v>
      </c>
      <c r="G147" s="35">
        <f>F147*C4</f>
        <v>8460</v>
      </c>
      <c r="H147" s="239"/>
      <c r="I147" s="239"/>
      <c r="J147" s="239"/>
      <c r="K147" s="239"/>
      <c r="L147" s="239"/>
      <c r="M147" s="239"/>
      <c r="N147" s="239"/>
      <c r="O147" s="239"/>
      <c r="P147" s="239"/>
      <c r="Q147" s="250"/>
      <c r="R147" s="261"/>
      <c r="S147" s="222">
        <f t="shared" si="24"/>
        <v>-6000</v>
      </c>
      <c r="T147" s="228">
        <f t="shared" si="25"/>
        <v>-1</v>
      </c>
      <c r="U147" s="222">
        <f>R147*$C$4</f>
        <v>0</v>
      </c>
      <c r="V147" s="222">
        <f>U147-G147</f>
        <v>-8460</v>
      </c>
      <c r="W147" s="228">
        <f>IF(G147=0,0,V147/G147)</f>
        <v>-1</v>
      </c>
      <c r="X147" s="228"/>
    </row>
    <row r="148" spans="1:24" x14ac:dyDescent="0.25">
      <c r="A148" s="152" t="s">
        <v>232</v>
      </c>
      <c r="B148" s="110" t="s">
        <v>336</v>
      </c>
      <c r="C148" s="351" t="s">
        <v>328</v>
      </c>
      <c r="D148" s="350">
        <v>12</v>
      </c>
      <c r="E148" s="349">
        <v>500</v>
      </c>
      <c r="F148" s="276">
        <f t="shared" si="26"/>
        <v>6000</v>
      </c>
      <c r="G148" s="35">
        <f>F148*C4</f>
        <v>8460</v>
      </c>
      <c r="H148" s="239"/>
      <c r="I148" s="239"/>
      <c r="J148" s="239"/>
      <c r="K148" s="239"/>
      <c r="L148" s="239"/>
      <c r="M148" s="239"/>
      <c r="N148" s="239"/>
      <c r="O148" s="239"/>
      <c r="P148" s="239"/>
      <c r="Q148" s="250"/>
      <c r="R148" s="261"/>
      <c r="S148" s="222">
        <f t="shared" si="24"/>
        <v>-6000</v>
      </c>
      <c r="T148" s="228">
        <f t="shared" si="25"/>
        <v>-1</v>
      </c>
      <c r="U148" s="222">
        <f>R148*$C$4</f>
        <v>0</v>
      </c>
      <c r="V148" s="222">
        <f>U148-G148</f>
        <v>-8460</v>
      </c>
      <c r="W148" s="228">
        <f>IF(G148=0,0,V148/G148)</f>
        <v>-1</v>
      </c>
      <c r="X148" s="228"/>
    </row>
    <row r="149" spans="1:24" x14ac:dyDescent="0.25">
      <c r="A149" s="152" t="s">
        <v>335</v>
      </c>
      <c r="B149" s="110" t="s">
        <v>334</v>
      </c>
      <c r="C149" s="351" t="s">
        <v>333</v>
      </c>
      <c r="D149" s="350">
        <v>500</v>
      </c>
      <c r="E149" s="349">
        <v>10</v>
      </c>
      <c r="F149" s="276">
        <f t="shared" si="26"/>
        <v>5000</v>
      </c>
      <c r="G149" s="35">
        <f>F149*C4</f>
        <v>7050</v>
      </c>
      <c r="H149" s="239"/>
      <c r="I149" s="239"/>
      <c r="J149" s="239"/>
      <c r="K149" s="239"/>
      <c r="L149" s="239"/>
      <c r="M149" s="239"/>
      <c r="N149" s="239"/>
      <c r="O149" s="239"/>
      <c r="P149" s="239"/>
      <c r="Q149" s="250"/>
      <c r="R149" s="261"/>
      <c r="S149" s="222">
        <f t="shared" si="24"/>
        <v>-5000</v>
      </c>
      <c r="T149" s="228">
        <f t="shared" si="25"/>
        <v>-1</v>
      </c>
      <c r="U149" s="222"/>
      <c r="V149" s="222"/>
      <c r="W149" s="228"/>
      <c r="X149" s="228"/>
    </row>
    <row r="150" spans="1:24" x14ac:dyDescent="0.25">
      <c r="A150" s="152" t="s">
        <v>332</v>
      </c>
      <c r="B150" s="110" t="s">
        <v>331</v>
      </c>
      <c r="C150" s="351" t="s">
        <v>328</v>
      </c>
      <c r="D150" s="350">
        <v>8</v>
      </c>
      <c r="E150" s="349">
        <v>500</v>
      </c>
      <c r="F150" s="276">
        <f t="shared" si="26"/>
        <v>4000</v>
      </c>
      <c r="G150" s="35">
        <f>F150*C4</f>
        <v>5640</v>
      </c>
      <c r="H150" s="239"/>
      <c r="I150" s="239"/>
      <c r="J150" s="239"/>
      <c r="K150" s="239"/>
      <c r="L150" s="239"/>
      <c r="M150" s="239"/>
      <c r="N150" s="239"/>
      <c r="O150" s="239"/>
      <c r="P150" s="239"/>
      <c r="Q150" s="250"/>
      <c r="R150" s="261"/>
      <c r="S150" s="222">
        <f t="shared" si="24"/>
        <v>-4000</v>
      </c>
      <c r="T150" s="228">
        <f t="shared" si="25"/>
        <v>-1</v>
      </c>
      <c r="U150" s="222">
        <f t="shared" ref="U150:U169" si="27">R150*$C$4</f>
        <v>0</v>
      </c>
      <c r="V150" s="222">
        <f t="shared" ref="V150:V169" si="28">U150-G150</f>
        <v>-5640</v>
      </c>
      <c r="W150" s="228">
        <f t="shared" ref="W150:W169" si="29">IF(G150=0,0,V150/G150)</f>
        <v>-1</v>
      </c>
      <c r="X150" s="228"/>
    </row>
    <row r="151" spans="1:24" x14ac:dyDescent="0.25">
      <c r="A151" s="152" t="s">
        <v>330</v>
      </c>
      <c r="B151" s="110" t="s">
        <v>329</v>
      </c>
      <c r="C151" s="351" t="s">
        <v>328</v>
      </c>
      <c r="D151" s="350">
        <v>8</v>
      </c>
      <c r="E151" s="349">
        <v>500</v>
      </c>
      <c r="F151" s="276">
        <f t="shared" si="26"/>
        <v>4000</v>
      </c>
      <c r="G151" s="35">
        <f>F151*C4</f>
        <v>5640</v>
      </c>
      <c r="H151" s="239"/>
      <c r="I151" s="239"/>
      <c r="J151" s="239"/>
      <c r="K151" s="239"/>
      <c r="L151" s="239"/>
      <c r="M151" s="239"/>
      <c r="N151" s="239"/>
      <c r="O151" s="239"/>
      <c r="P151" s="239"/>
      <c r="Q151" s="250"/>
      <c r="R151" s="261"/>
      <c r="S151" s="222">
        <f t="shared" si="24"/>
        <v>-4000</v>
      </c>
      <c r="T151" s="228">
        <f t="shared" si="25"/>
        <v>-1</v>
      </c>
      <c r="U151" s="222">
        <f t="shared" si="27"/>
        <v>0</v>
      </c>
      <c r="V151" s="222">
        <f t="shared" si="28"/>
        <v>-5640</v>
      </c>
      <c r="W151" s="228">
        <f t="shared" si="29"/>
        <v>-1</v>
      </c>
      <c r="X151" s="228"/>
    </row>
    <row r="152" spans="1:24" x14ac:dyDescent="0.25">
      <c r="A152" s="217" t="s">
        <v>107</v>
      </c>
      <c r="B152" s="218" t="s">
        <v>74</v>
      </c>
      <c r="C152" s="355"/>
      <c r="D152" s="354"/>
      <c r="E152" s="353"/>
      <c r="F152" s="352">
        <f>SUM(F153:F157)</f>
        <v>8000</v>
      </c>
      <c r="G152" s="212">
        <f>SUM(G153:G157)</f>
        <v>11280</v>
      </c>
      <c r="H152" s="239"/>
      <c r="I152" s="239"/>
      <c r="J152" s="239"/>
      <c r="K152" s="239"/>
      <c r="L152" s="239"/>
      <c r="M152" s="239"/>
      <c r="N152" s="239"/>
      <c r="O152" s="239"/>
      <c r="P152" s="239"/>
      <c r="Q152" s="250"/>
      <c r="R152" s="261"/>
      <c r="S152" s="236">
        <f t="shared" si="24"/>
        <v>-8000</v>
      </c>
      <c r="T152" s="237">
        <f t="shared" si="25"/>
        <v>-1</v>
      </c>
      <c r="U152" s="236">
        <f t="shared" si="27"/>
        <v>0</v>
      </c>
      <c r="V152" s="236">
        <f t="shared" si="28"/>
        <v>-11280</v>
      </c>
      <c r="W152" s="237">
        <f t="shared" si="29"/>
        <v>-1</v>
      </c>
      <c r="X152" s="237"/>
    </row>
    <row r="153" spans="1:24" x14ac:dyDescent="0.25">
      <c r="A153" s="152" t="s">
        <v>235</v>
      </c>
      <c r="B153" s="110" t="s">
        <v>327</v>
      </c>
      <c r="C153" s="351" t="s">
        <v>326</v>
      </c>
      <c r="D153" s="350">
        <v>8</v>
      </c>
      <c r="E153" s="349">
        <v>1000</v>
      </c>
      <c r="F153" s="276">
        <f>D153*E153</f>
        <v>8000</v>
      </c>
      <c r="G153" s="35">
        <f>F153*C4</f>
        <v>11280</v>
      </c>
      <c r="H153" s="239"/>
      <c r="I153" s="239"/>
      <c r="J153" s="239"/>
      <c r="K153" s="239"/>
      <c r="L153" s="239"/>
      <c r="M153" s="239"/>
      <c r="N153" s="239"/>
      <c r="O153" s="239"/>
      <c r="P153" s="239"/>
      <c r="Q153" s="250"/>
      <c r="R153" s="261"/>
      <c r="S153" s="222">
        <f t="shared" si="24"/>
        <v>-8000</v>
      </c>
      <c r="T153" s="228">
        <f t="shared" si="25"/>
        <v>-1</v>
      </c>
      <c r="U153" s="222">
        <f t="shared" si="27"/>
        <v>0</v>
      </c>
      <c r="V153" s="222">
        <f t="shared" si="28"/>
        <v>-11280</v>
      </c>
      <c r="W153" s="228">
        <f t="shared" si="29"/>
        <v>-1</v>
      </c>
      <c r="X153" s="228"/>
    </row>
    <row r="154" spans="1:24" hidden="1" x14ac:dyDescent="0.25">
      <c r="A154" s="152" t="s">
        <v>236</v>
      </c>
      <c r="B154" s="110" t="s">
        <v>288</v>
      </c>
      <c r="C154" s="351"/>
      <c r="D154" s="350"/>
      <c r="E154" s="349"/>
      <c r="F154" s="276">
        <f>D154*E154</f>
        <v>0</v>
      </c>
      <c r="G154" s="35">
        <f>F154*C4</f>
        <v>0</v>
      </c>
      <c r="H154" s="239"/>
      <c r="I154" s="239"/>
      <c r="J154" s="239"/>
      <c r="K154" s="239"/>
      <c r="L154" s="239"/>
      <c r="M154" s="239"/>
      <c r="N154" s="239"/>
      <c r="O154" s="239"/>
      <c r="P154" s="239"/>
      <c r="Q154" s="250"/>
      <c r="R154" s="261"/>
      <c r="S154" s="222">
        <f t="shared" si="24"/>
        <v>0</v>
      </c>
      <c r="T154" s="228">
        <f t="shared" si="25"/>
        <v>0</v>
      </c>
      <c r="U154" s="222">
        <f t="shared" si="27"/>
        <v>0</v>
      </c>
      <c r="V154" s="222">
        <f t="shared" si="28"/>
        <v>0</v>
      </c>
      <c r="W154" s="228">
        <f t="shared" si="29"/>
        <v>0</v>
      </c>
      <c r="X154" s="228"/>
    </row>
    <row r="155" spans="1:24" hidden="1" x14ac:dyDescent="0.25">
      <c r="A155" s="152" t="s">
        <v>237</v>
      </c>
      <c r="B155" s="110" t="s">
        <v>289</v>
      </c>
      <c r="C155" s="351"/>
      <c r="D155" s="350"/>
      <c r="E155" s="349"/>
      <c r="F155" s="276">
        <f>D155*E155</f>
        <v>0</v>
      </c>
      <c r="G155" s="35">
        <f>F155*C4</f>
        <v>0</v>
      </c>
      <c r="H155" s="239"/>
      <c r="I155" s="239"/>
      <c r="J155" s="239"/>
      <c r="K155" s="239"/>
      <c r="L155" s="239"/>
      <c r="M155" s="239"/>
      <c r="N155" s="239"/>
      <c r="O155" s="239"/>
      <c r="P155" s="239"/>
      <c r="Q155" s="250"/>
      <c r="R155" s="261"/>
      <c r="S155" s="222">
        <f t="shared" si="24"/>
        <v>0</v>
      </c>
      <c r="T155" s="228">
        <f t="shared" si="25"/>
        <v>0</v>
      </c>
      <c r="U155" s="222">
        <f t="shared" si="27"/>
        <v>0</v>
      </c>
      <c r="V155" s="222">
        <f t="shared" si="28"/>
        <v>0</v>
      </c>
      <c r="W155" s="228">
        <f t="shared" si="29"/>
        <v>0</v>
      </c>
      <c r="X155" s="228"/>
    </row>
    <row r="156" spans="1:24" hidden="1" x14ac:dyDescent="0.25">
      <c r="A156" s="152" t="s">
        <v>238</v>
      </c>
      <c r="B156" s="110" t="s">
        <v>290</v>
      </c>
      <c r="C156" s="351"/>
      <c r="D156" s="350"/>
      <c r="E156" s="349"/>
      <c r="F156" s="276">
        <f>D156*E156</f>
        <v>0</v>
      </c>
      <c r="G156" s="35">
        <f>F156*C4</f>
        <v>0</v>
      </c>
      <c r="H156" s="239"/>
      <c r="I156" s="239"/>
      <c r="J156" s="239"/>
      <c r="K156" s="239"/>
      <c r="L156" s="239"/>
      <c r="M156" s="239"/>
      <c r="N156" s="239"/>
      <c r="O156" s="239"/>
      <c r="P156" s="239"/>
      <c r="Q156" s="250"/>
      <c r="R156" s="261"/>
      <c r="S156" s="222">
        <f t="shared" si="24"/>
        <v>0</v>
      </c>
      <c r="T156" s="228">
        <f t="shared" si="25"/>
        <v>0</v>
      </c>
      <c r="U156" s="222">
        <f t="shared" si="27"/>
        <v>0</v>
      </c>
      <c r="V156" s="222">
        <f t="shared" si="28"/>
        <v>0</v>
      </c>
      <c r="W156" s="228">
        <f t="shared" si="29"/>
        <v>0</v>
      </c>
      <c r="X156" s="228"/>
    </row>
    <row r="157" spans="1:24" hidden="1" x14ac:dyDescent="0.25">
      <c r="A157" s="152" t="s">
        <v>239</v>
      </c>
      <c r="B157" s="110" t="s">
        <v>291</v>
      </c>
      <c r="C157" s="351"/>
      <c r="D157" s="350"/>
      <c r="E157" s="349"/>
      <c r="F157" s="276">
        <f>D157*E157</f>
        <v>0</v>
      </c>
      <c r="G157" s="35">
        <f>F157*C4</f>
        <v>0</v>
      </c>
      <c r="H157" s="239"/>
      <c r="I157" s="239"/>
      <c r="J157" s="239"/>
      <c r="K157" s="239"/>
      <c r="L157" s="239"/>
      <c r="M157" s="239"/>
      <c r="N157" s="239"/>
      <c r="O157" s="239"/>
      <c r="P157" s="239"/>
      <c r="Q157" s="250"/>
      <c r="R157" s="261"/>
      <c r="S157" s="222">
        <f t="shared" si="24"/>
        <v>0</v>
      </c>
      <c r="T157" s="228">
        <f t="shared" si="25"/>
        <v>0</v>
      </c>
      <c r="U157" s="222">
        <f t="shared" si="27"/>
        <v>0</v>
      </c>
      <c r="V157" s="222">
        <f t="shared" si="28"/>
        <v>0</v>
      </c>
      <c r="W157" s="228">
        <f t="shared" si="29"/>
        <v>0</v>
      </c>
      <c r="X157" s="228"/>
    </row>
    <row r="158" spans="1:24" x14ac:dyDescent="0.25">
      <c r="A158" s="217" t="s">
        <v>108</v>
      </c>
      <c r="B158" s="218" t="s">
        <v>75</v>
      </c>
      <c r="C158" s="355"/>
      <c r="D158" s="354"/>
      <c r="E158" s="353"/>
      <c r="F158" s="352">
        <f>SUM(F159:F163)</f>
        <v>0</v>
      </c>
      <c r="G158" s="212">
        <f>SUM(G159:G163)</f>
        <v>0</v>
      </c>
      <c r="H158" s="239"/>
      <c r="I158" s="239"/>
      <c r="J158" s="239"/>
      <c r="K158" s="239"/>
      <c r="L158" s="239"/>
      <c r="M158" s="239"/>
      <c r="N158" s="239"/>
      <c r="O158" s="239"/>
      <c r="P158" s="239"/>
      <c r="Q158" s="250"/>
      <c r="R158" s="261"/>
      <c r="S158" s="236">
        <f t="shared" si="24"/>
        <v>0</v>
      </c>
      <c r="T158" s="237">
        <f t="shared" si="25"/>
        <v>0</v>
      </c>
      <c r="U158" s="236">
        <f t="shared" si="27"/>
        <v>0</v>
      </c>
      <c r="V158" s="236">
        <f t="shared" si="28"/>
        <v>0</v>
      </c>
      <c r="W158" s="237">
        <f t="shared" si="29"/>
        <v>0</v>
      </c>
      <c r="X158" s="237"/>
    </row>
    <row r="159" spans="1:24" hidden="1" x14ac:dyDescent="0.25">
      <c r="A159" s="157" t="s">
        <v>240</v>
      </c>
      <c r="B159" s="110" t="s">
        <v>292</v>
      </c>
      <c r="C159" s="351"/>
      <c r="D159" s="350"/>
      <c r="E159" s="349"/>
      <c r="F159" s="276">
        <f>D159*E159</f>
        <v>0</v>
      </c>
      <c r="G159" s="35">
        <f>F159*C4</f>
        <v>0</v>
      </c>
      <c r="H159" s="239"/>
      <c r="I159" s="239"/>
      <c r="J159" s="239"/>
      <c r="K159" s="239"/>
      <c r="L159" s="239"/>
      <c r="M159" s="239"/>
      <c r="N159" s="239"/>
      <c r="O159" s="239"/>
      <c r="P159" s="239"/>
      <c r="Q159" s="250"/>
      <c r="R159" s="261"/>
      <c r="S159" s="222">
        <f t="shared" si="24"/>
        <v>0</v>
      </c>
      <c r="T159" s="228">
        <f t="shared" si="25"/>
        <v>0</v>
      </c>
      <c r="U159" s="222">
        <f t="shared" si="27"/>
        <v>0</v>
      </c>
      <c r="V159" s="222">
        <f t="shared" si="28"/>
        <v>0</v>
      </c>
      <c r="W159" s="228">
        <f t="shared" si="29"/>
        <v>0</v>
      </c>
      <c r="X159" s="228"/>
    </row>
    <row r="160" spans="1:24" hidden="1" x14ac:dyDescent="0.25">
      <c r="A160" s="157" t="s">
        <v>241</v>
      </c>
      <c r="B160" s="110" t="s">
        <v>293</v>
      </c>
      <c r="C160" s="351"/>
      <c r="D160" s="350"/>
      <c r="E160" s="349"/>
      <c r="F160" s="276">
        <f>D160*E160</f>
        <v>0</v>
      </c>
      <c r="G160" s="35">
        <f>F160*C4</f>
        <v>0</v>
      </c>
      <c r="H160" s="239"/>
      <c r="I160" s="239"/>
      <c r="J160" s="239"/>
      <c r="K160" s="239"/>
      <c r="L160" s="239"/>
      <c r="M160" s="239"/>
      <c r="N160" s="239"/>
      <c r="O160" s="239"/>
      <c r="P160" s="239"/>
      <c r="Q160" s="250"/>
      <c r="R160" s="261"/>
      <c r="S160" s="222">
        <f t="shared" si="24"/>
        <v>0</v>
      </c>
      <c r="T160" s="228">
        <f t="shared" si="25"/>
        <v>0</v>
      </c>
      <c r="U160" s="222">
        <f t="shared" si="27"/>
        <v>0</v>
      </c>
      <c r="V160" s="222">
        <f t="shared" si="28"/>
        <v>0</v>
      </c>
      <c r="W160" s="228">
        <f t="shared" si="29"/>
        <v>0</v>
      </c>
      <c r="X160" s="228"/>
    </row>
    <row r="161" spans="1:24" hidden="1" x14ac:dyDescent="0.25">
      <c r="A161" s="157" t="s">
        <v>242</v>
      </c>
      <c r="B161" s="110" t="s">
        <v>294</v>
      </c>
      <c r="C161" s="351"/>
      <c r="D161" s="350"/>
      <c r="E161" s="349"/>
      <c r="F161" s="276">
        <f>D161*E161</f>
        <v>0</v>
      </c>
      <c r="G161" s="35">
        <f>F161*C4</f>
        <v>0</v>
      </c>
      <c r="H161" s="239"/>
      <c r="I161" s="239"/>
      <c r="J161" s="239"/>
      <c r="K161" s="239"/>
      <c r="L161" s="239"/>
      <c r="M161" s="239"/>
      <c r="N161" s="239"/>
      <c r="O161" s="239"/>
      <c r="P161" s="239"/>
      <c r="Q161" s="250"/>
      <c r="R161" s="261"/>
      <c r="S161" s="222">
        <f t="shared" si="24"/>
        <v>0</v>
      </c>
      <c r="T161" s="228">
        <f t="shared" si="25"/>
        <v>0</v>
      </c>
      <c r="U161" s="222">
        <f t="shared" si="27"/>
        <v>0</v>
      </c>
      <c r="V161" s="222">
        <f t="shared" si="28"/>
        <v>0</v>
      </c>
      <c r="W161" s="228">
        <f t="shared" si="29"/>
        <v>0</v>
      </c>
      <c r="X161" s="228"/>
    </row>
    <row r="162" spans="1:24" hidden="1" x14ac:dyDescent="0.25">
      <c r="A162" s="157" t="s">
        <v>243</v>
      </c>
      <c r="B162" s="110" t="s">
        <v>295</v>
      </c>
      <c r="C162" s="351"/>
      <c r="D162" s="350"/>
      <c r="E162" s="349"/>
      <c r="F162" s="276">
        <f>D162*E162</f>
        <v>0</v>
      </c>
      <c r="G162" s="35">
        <f>F162*C4</f>
        <v>0</v>
      </c>
      <c r="H162" s="239"/>
      <c r="I162" s="239"/>
      <c r="J162" s="239"/>
      <c r="K162" s="239"/>
      <c r="L162" s="239"/>
      <c r="M162" s="239"/>
      <c r="N162" s="239"/>
      <c r="O162" s="239"/>
      <c r="P162" s="239"/>
      <c r="Q162" s="250"/>
      <c r="R162" s="261"/>
      <c r="S162" s="222">
        <f t="shared" si="24"/>
        <v>0</v>
      </c>
      <c r="T162" s="228">
        <f t="shared" si="25"/>
        <v>0</v>
      </c>
      <c r="U162" s="222">
        <f t="shared" si="27"/>
        <v>0</v>
      </c>
      <c r="V162" s="222">
        <f t="shared" si="28"/>
        <v>0</v>
      </c>
      <c r="W162" s="228">
        <f t="shared" si="29"/>
        <v>0</v>
      </c>
      <c r="X162" s="228"/>
    </row>
    <row r="163" spans="1:24" hidden="1" x14ac:dyDescent="0.25">
      <c r="A163" s="157" t="s">
        <v>244</v>
      </c>
      <c r="B163" s="110" t="s">
        <v>296</v>
      </c>
      <c r="C163" s="351"/>
      <c r="D163" s="350"/>
      <c r="E163" s="349"/>
      <c r="F163" s="276">
        <f>D163*E163</f>
        <v>0</v>
      </c>
      <c r="G163" s="35">
        <f>F163*C4</f>
        <v>0</v>
      </c>
      <c r="H163" s="239"/>
      <c r="I163" s="239"/>
      <c r="J163" s="239"/>
      <c r="K163" s="239"/>
      <c r="L163" s="239"/>
      <c r="M163" s="239"/>
      <c r="N163" s="239"/>
      <c r="O163" s="239"/>
      <c r="P163" s="239"/>
      <c r="Q163" s="250"/>
      <c r="R163" s="261"/>
      <c r="S163" s="222">
        <f t="shared" si="24"/>
        <v>0</v>
      </c>
      <c r="T163" s="228">
        <f t="shared" si="25"/>
        <v>0</v>
      </c>
      <c r="U163" s="222">
        <f t="shared" si="27"/>
        <v>0</v>
      </c>
      <c r="V163" s="222">
        <f t="shared" si="28"/>
        <v>0</v>
      </c>
      <c r="W163" s="228">
        <f t="shared" si="29"/>
        <v>0</v>
      </c>
      <c r="X163" s="228"/>
    </row>
    <row r="164" spans="1:24" x14ac:dyDescent="0.25">
      <c r="A164" s="217" t="s">
        <v>109</v>
      </c>
      <c r="B164" s="218" t="s">
        <v>76</v>
      </c>
      <c r="C164" s="355"/>
      <c r="D164" s="354"/>
      <c r="E164" s="353"/>
      <c r="F164" s="352">
        <f>SUM(F165:F169)</f>
        <v>0</v>
      </c>
      <c r="G164" s="212">
        <f>SUM(G165:G169)</f>
        <v>0</v>
      </c>
      <c r="H164" s="239"/>
      <c r="I164" s="239"/>
      <c r="J164" s="239"/>
      <c r="K164" s="239"/>
      <c r="L164" s="239"/>
      <c r="M164" s="239"/>
      <c r="N164" s="239"/>
      <c r="O164" s="239"/>
      <c r="P164" s="239"/>
      <c r="Q164" s="250"/>
      <c r="R164" s="261"/>
      <c r="S164" s="236">
        <f t="shared" si="24"/>
        <v>0</v>
      </c>
      <c r="T164" s="237">
        <f t="shared" si="25"/>
        <v>0</v>
      </c>
      <c r="U164" s="236">
        <f t="shared" si="27"/>
        <v>0</v>
      </c>
      <c r="V164" s="236">
        <f t="shared" si="28"/>
        <v>0</v>
      </c>
      <c r="W164" s="237">
        <f t="shared" si="29"/>
        <v>0</v>
      </c>
      <c r="X164" s="237"/>
    </row>
    <row r="165" spans="1:24" hidden="1" x14ac:dyDescent="0.25">
      <c r="A165" s="152" t="s">
        <v>245</v>
      </c>
      <c r="B165" s="110" t="s">
        <v>297</v>
      </c>
      <c r="C165" s="351"/>
      <c r="D165" s="350"/>
      <c r="E165" s="349"/>
      <c r="F165" s="276">
        <f>D165*E165</f>
        <v>0</v>
      </c>
      <c r="G165" s="35">
        <f>F165*C4</f>
        <v>0</v>
      </c>
      <c r="H165" s="239"/>
      <c r="I165" s="239"/>
      <c r="J165" s="239"/>
      <c r="K165" s="239"/>
      <c r="L165" s="239"/>
      <c r="M165" s="239"/>
      <c r="N165" s="239"/>
      <c r="O165" s="239"/>
      <c r="P165" s="239"/>
      <c r="Q165" s="250"/>
      <c r="R165" s="261"/>
      <c r="S165" s="222">
        <f t="shared" si="24"/>
        <v>0</v>
      </c>
      <c r="T165" s="228">
        <f t="shared" si="25"/>
        <v>0</v>
      </c>
      <c r="U165" s="222">
        <f t="shared" si="27"/>
        <v>0</v>
      </c>
      <c r="V165" s="222">
        <f t="shared" si="28"/>
        <v>0</v>
      </c>
      <c r="W165" s="228">
        <f t="shared" si="29"/>
        <v>0</v>
      </c>
      <c r="X165" s="228"/>
    </row>
    <row r="166" spans="1:24" hidden="1" x14ac:dyDescent="0.25">
      <c r="A166" s="152" t="s">
        <v>246</v>
      </c>
      <c r="B166" s="110" t="s">
        <v>301</v>
      </c>
      <c r="C166" s="351"/>
      <c r="D166" s="350"/>
      <c r="E166" s="349"/>
      <c r="F166" s="276">
        <f>D166*E166</f>
        <v>0</v>
      </c>
      <c r="G166" s="35">
        <f>F166*C4</f>
        <v>0</v>
      </c>
      <c r="H166" s="239"/>
      <c r="I166" s="239"/>
      <c r="J166" s="239"/>
      <c r="K166" s="239"/>
      <c r="L166" s="239"/>
      <c r="M166" s="239"/>
      <c r="N166" s="239"/>
      <c r="O166" s="239"/>
      <c r="P166" s="239"/>
      <c r="Q166" s="250"/>
      <c r="R166" s="261"/>
      <c r="S166" s="222">
        <f t="shared" si="24"/>
        <v>0</v>
      </c>
      <c r="T166" s="228">
        <f t="shared" si="25"/>
        <v>0</v>
      </c>
      <c r="U166" s="222">
        <f t="shared" si="27"/>
        <v>0</v>
      </c>
      <c r="V166" s="222">
        <f t="shared" si="28"/>
        <v>0</v>
      </c>
      <c r="W166" s="228">
        <f t="shared" si="29"/>
        <v>0</v>
      </c>
      <c r="X166" s="228"/>
    </row>
    <row r="167" spans="1:24" hidden="1" x14ac:dyDescent="0.25">
      <c r="A167" s="152" t="s">
        <v>247</v>
      </c>
      <c r="B167" s="110" t="s">
        <v>300</v>
      </c>
      <c r="C167" s="351"/>
      <c r="D167" s="350"/>
      <c r="E167" s="349"/>
      <c r="F167" s="276">
        <f>D167*E167</f>
        <v>0</v>
      </c>
      <c r="G167" s="35">
        <f>F167*C4</f>
        <v>0</v>
      </c>
      <c r="H167" s="239"/>
      <c r="I167" s="239"/>
      <c r="J167" s="239"/>
      <c r="K167" s="239"/>
      <c r="L167" s="239"/>
      <c r="M167" s="239"/>
      <c r="N167" s="239"/>
      <c r="O167" s="239"/>
      <c r="P167" s="239"/>
      <c r="Q167" s="250"/>
      <c r="R167" s="261"/>
      <c r="S167" s="222">
        <f t="shared" si="24"/>
        <v>0</v>
      </c>
      <c r="T167" s="228">
        <f t="shared" si="25"/>
        <v>0</v>
      </c>
      <c r="U167" s="222">
        <f t="shared" si="27"/>
        <v>0</v>
      </c>
      <c r="V167" s="222">
        <f t="shared" si="28"/>
        <v>0</v>
      </c>
      <c r="W167" s="228">
        <f t="shared" si="29"/>
        <v>0</v>
      </c>
      <c r="X167" s="228"/>
    </row>
    <row r="168" spans="1:24" hidden="1" x14ac:dyDescent="0.25">
      <c r="A168" s="152" t="s">
        <v>248</v>
      </c>
      <c r="B168" s="110" t="s">
        <v>299</v>
      </c>
      <c r="C168" s="351"/>
      <c r="D168" s="350"/>
      <c r="E168" s="349"/>
      <c r="F168" s="276">
        <f>D168*E168</f>
        <v>0</v>
      </c>
      <c r="G168" s="35">
        <f>F168*C4</f>
        <v>0</v>
      </c>
      <c r="H168" s="239"/>
      <c r="I168" s="239"/>
      <c r="J168" s="239"/>
      <c r="K168" s="239"/>
      <c r="L168" s="239"/>
      <c r="M168" s="239"/>
      <c r="N168" s="239"/>
      <c r="O168" s="239"/>
      <c r="P168" s="239"/>
      <c r="Q168" s="250"/>
      <c r="R168" s="261"/>
      <c r="S168" s="222">
        <f t="shared" si="24"/>
        <v>0</v>
      </c>
      <c r="T168" s="228">
        <f t="shared" si="25"/>
        <v>0</v>
      </c>
      <c r="U168" s="222">
        <f t="shared" si="27"/>
        <v>0</v>
      </c>
      <c r="V168" s="222">
        <f t="shared" si="28"/>
        <v>0</v>
      </c>
      <c r="W168" s="228">
        <f t="shared" si="29"/>
        <v>0</v>
      </c>
      <c r="X168" s="228"/>
    </row>
    <row r="169" spans="1:24" hidden="1" x14ac:dyDescent="0.25">
      <c r="A169" s="152" t="s">
        <v>249</v>
      </c>
      <c r="B169" s="110" t="s">
        <v>298</v>
      </c>
      <c r="C169" s="351"/>
      <c r="D169" s="350"/>
      <c r="E169" s="349"/>
      <c r="F169" s="276">
        <f>D169*E169</f>
        <v>0</v>
      </c>
      <c r="G169" s="35">
        <f>F169*C4</f>
        <v>0</v>
      </c>
      <c r="H169" s="239"/>
      <c r="I169" s="239"/>
      <c r="J169" s="239"/>
      <c r="K169" s="239"/>
      <c r="L169" s="239"/>
      <c r="M169" s="239"/>
      <c r="N169" s="239"/>
      <c r="O169" s="239"/>
      <c r="P169" s="239"/>
      <c r="Q169" s="250"/>
      <c r="R169" s="261"/>
      <c r="S169" s="222">
        <f t="shared" si="24"/>
        <v>0</v>
      </c>
      <c r="T169" s="228">
        <f t="shared" si="25"/>
        <v>0</v>
      </c>
      <c r="U169" s="222">
        <f t="shared" si="27"/>
        <v>0</v>
      </c>
      <c r="V169" s="222">
        <f t="shared" si="28"/>
        <v>0</v>
      </c>
      <c r="W169" s="228">
        <f t="shared" si="29"/>
        <v>0</v>
      </c>
      <c r="X169" s="228"/>
    </row>
    <row r="170" spans="1:24" x14ac:dyDescent="0.25">
      <c r="B170" s="153"/>
      <c r="C170" s="348"/>
      <c r="D170" s="347"/>
      <c r="E170" s="346"/>
      <c r="F170" s="276"/>
      <c r="H170" s="239"/>
      <c r="I170" s="239"/>
      <c r="J170" s="239"/>
      <c r="K170" s="239"/>
      <c r="L170" s="239"/>
      <c r="M170" s="239"/>
      <c r="N170" s="239"/>
      <c r="O170" s="239"/>
      <c r="P170" s="239"/>
      <c r="Q170" s="250"/>
      <c r="R170" s="256"/>
      <c r="S170" s="222"/>
      <c r="T170" s="228"/>
      <c r="U170" s="222"/>
      <c r="V170" s="222"/>
      <c r="W170" s="228"/>
      <c r="X170" s="228"/>
    </row>
    <row r="171" spans="1:24" ht="13.8" thickBot="1" x14ac:dyDescent="0.3">
      <c r="A171" s="103"/>
      <c r="B171" s="150" t="s">
        <v>130</v>
      </c>
      <c r="C171" s="294"/>
      <c r="D171" s="293"/>
      <c r="E171" s="292"/>
      <c r="F171" s="316">
        <f>SUM(F96+F102+F108+F114+F120+F128+F145+F152+F158+F164)</f>
        <v>533640</v>
      </c>
      <c r="G171" s="316">
        <f>SUM(G96+G102+G108+G114+G120+G128+G145+G152+G158+G164)</f>
        <v>752432.4</v>
      </c>
      <c r="H171" s="286"/>
      <c r="I171" s="286"/>
      <c r="J171" s="286"/>
      <c r="K171" s="286"/>
      <c r="L171" s="286"/>
      <c r="M171" s="286"/>
      <c r="N171" s="286"/>
      <c r="O171" s="286"/>
      <c r="P171" s="286"/>
      <c r="Q171" s="312"/>
      <c r="R171" s="311"/>
      <c r="S171" s="234">
        <f>R171-F171</f>
        <v>-533640</v>
      </c>
      <c r="T171" s="235">
        <f>IF(F171=0,0,S171/F171)</f>
        <v>-1</v>
      </c>
      <c r="U171" s="234">
        <f>R171*$C$4</f>
        <v>0</v>
      </c>
      <c r="V171" s="234">
        <f>U171-G171</f>
        <v>-752432.4</v>
      </c>
      <c r="W171" s="235">
        <f>IF(G171=0,0,V171/G171)</f>
        <v>-1</v>
      </c>
      <c r="X171" s="235"/>
    </row>
    <row r="172" spans="1:24" ht="13.8" thickTop="1" x14ac:dyDescent="0.25">
      <c r="C172" s="83"/>
      <c r="D172" s="267"/>
      <c r="E172" s="266"/>
      <c r="G172" s="276"/>
      <c r="H172" s="345"/>
      <c r="I172" s="345"/>
      <c r="J172" s="345"/>
      <c r="K172" s="345"/>
      <c r="L172" s="345"/>
      <c r="M172" s="345"/>
      <c r="N172" s="345"/>
      <c r="O172" s="345"/>
      <c r="P172" s="345"/>
      <c r="Q172" s="344"/>
      <c r="R172" s="343"/>
      <c r="S172" s="222"/>
      <c r="T172" s="228"/>
      <c r="U172" s="222"/>
      <c r="V172" s="222"/>
      <c r="W172" s="228"/>
      <c r="X172" s="228"/>
    </row>
    <row r="173" spans="1:24" x14ac:dyDescent="0.25">
      <c r="A173" s="129">
        <v>3</v>
      </c>
      <c r="B173" s="130" t="s">
        <v>133</v>
      </c>
      <c r="C173" s="329"/>
      <c r="D173" s="328"/>
      <c r="E173" s="327"/>
      <c r="F173" s="327"/>
      <c r="G173" s="151"/>
      <c r="H173" s="238"/>
      <c r="I173" s="238"/>
      <c r="J173" s="238"/>
      <c r="K173" s="238"/>
      <c r="L173" s="238"/>
      <c r="M173" s="238"/>
      <c r="N173" s="238"/>
      <c r="O173" s="238"/>
      <c r="P173" s="238"/>
      <c r="Q173" s="251"/>
      <c r="R173" s="259"/>
      <c r="S173" s="227"/>
      <c r="T173" s="229"/>
      <c r="U173" s="227"/>
      <c r="V173" s="227"/>
      <c r="W173" s="229"/>
      <c r="X173" s="229"/>
    </row>
    <row r="174" spans="1:24" x14ac:dyDescent="0.25">
      <c r="A174" s="161" t="s">
        <v>138</v>
      </c>
      <c r="B174" s="144" t="s">
        <v>116</v>
      </c>
      <c r="C174" s="310"/>
      <c r="D174" s="339"/>
      <c r="E174" s="338"/>
      <c r="F174" s="320">
        <f t="shared" ref="F174:F181" si="30">D174*E174</f>
        <v>0</v>
      </c>
      <c r="G174" s="37">
        <f>F174*C4</f>
        <v>0</v>
      </c>
      <c r="H174" s="239"/>
      <c r="I174" s="239"/>
      <c r="J174" s="239"/>
      <c r="K174" s="239"/>
      <c r="L174" s="239"/>
      <c r="M174" s="239"/>
      <c r="N174" s="239"/>
      <c r="O174" s="239"/>
      <c r="P174" s="239"/>
      <c r="Q174" s="250"/>
      <c r="R174" s="261"/>
      <c r="S174" s="222">
        <f>R174-F174</f>
        <v>0</v>
      </c>
      <c r="T174" s="228">
        <f>IF(F174=0,0,S174/F174)</f>
        <v>0</v>
      </c>
      <c r="U174" s="222">
        <f>R174*$C$4</f>
        <v>0</v>
      </c>
      <c r="V174" s="222">
        <f>U174-G174</f>
        <v>0</v>
      </c>
      <c r="W174" s="228">
        <f>IF(G174=0,0,V174/G174)</f>
        <v>0</v>
      </c>
      <c r="X174" s="228"/>
    </row>
    <row r="175" spans="1:24" x14ac:dyDescent="0.25">
      <c r="A175" s="161" t="s">
        <v>139</v>
      </c>
      <c r="B175" s="144" t="s">
        <v>52</v>
      </c>
      <c r="C175" s="310"/>
      <c r="D175" s="339"/>
      <c r="E175" s="338"/>
      <c r="F175" s="320">
        <f t="shared" si="30"/>
        <v>0</v>
      </c>
      <c r="G175" s="37">
        <f>F175*C4</f>
        <v>0</v>
      </c>
      <c r="H175" s="239"/>
      <c r="I175" s="239"/>
      <c r="J175" s="239"/>
      <c r="K175" s="239"/>
      <c r="L175" s="239"/>
      <c r="M175" s="239"/>
      <c r="N175" s="239"/>
      <c r="O175" s="239"/>
      <c r="P175" s="239"/>
      <c r="Q175" s="250"/>
      <c r="R175" s="261"/>
      <c r="S175" s="222">
        <f>R175-F175</f>
        <v>0</v>
      </c>
      <c r="T175" s="228">
        <f>IF(F175=0,0,S175/F175)</f>
        <v>0</v>
      </c>
      <c r="U175" s="222">
        <f>R175*$C$4</f>
        <v>0</v>
      </c>
      <c r="V175" s="222">
        <f>U175-G175</f>
        <v>0</v>
      </c>
      <c r="W175" s="228">
        <f>IF(G175=0,0,V175/G175)</f>
        <v>0</v>
      </c>
      <c r="X175" s="228"/>
    </row>
    <row r="176" spans="1:24" x14ac:dyDescent="0.25">
      <c r="A176" s="161" t="s">
        <v>140</v>
      </c>
      <c r="B176" s="144" t="s">
        <v>313</v>
      </c>
      <c r="C176" s="342"/>
      <c r="D176" s="309"/>
      <c r="E176" s="308"/>
      <c r="F176" s="320">
        <f t="shared" si="30"/>
        <v>0</v>
      </c>
      <c r="G176" s="37">
        <f>F176*C4</f>
        <v>0</v>
      </c>
      <c r="H176" s="239"/>
      <c r="I176" s="239"/>
      <c r="J176" s="239"/>
      <c r="K176" s="239"/>
      <c r="L176" s="239"/>
      <c r="M176" s="239"/>
      <c r="N176" s="239"/>
      <c r="O176" s="239"/>
      <c r="P176" s="239"/>
      <c r="Q176" s="250"/>
      <c r="R176" s="261"/>
      <c r="S176" s="222">
        <f>R176-F176</f>
        <v>0</v>
      </c>
      <c r="T176" s="228">
        <f>IF(F176=0,0,S176/F176)</f>
        <v>0</v>
      </c>
      <c r="U176" s="222">
        <f>R176*$C$4</f>
        <v>0</v>
      </c>
      <c r="V176" s="222">
        <f>U176-G176</f>
        <v>0</v>
      </c>
      <c r="W176" s="228">
        <f>IF(G176=0,0,V176/G176)</f>
        <v>0</v>
      </c>
      <c r="X176" s="228"/>
    </row>
    <row r="177" spans="1:24" x14ac:dyDescent="0.25">
      <c r="A177" s="161" t="s">
        <v>141</v>
      </c>
      <c r="B177" s="144" t="s">
        <v>146</v>
      </c>
      <c r="C177" s="351" t="s">
        <v>326</v>
      </c>
      <c r="D177" s="309">
        <v>1</v>
      </c>
      <c r="E177" s="308">
        <v>2840</v>
      </c>
      <c r="F177" s="320">
        <f t="shared" si="30"/>
        <v>2840</v>
      </c>
      <c r="G177" s="37">
        <f>F177*C4</f>
        <v>4004.3999999999996</v>
      </c>
      <c r="H177" s="239"/>
      <c r="I177" s="239"/>
      <c r="J177" s="239"/>
      <c r="K177" s="239"/>
      <c r="L177" s="239"/>
      <c r="M177" s="239"/>
      <c r="N177" s="239"/>
      <c r="O177" s="239"/>
      <c r="P177" s="239"/>
      <c r="Q177" s="250"/>
      <c r="R177" s="261"/>
      <c r="S177" s="222">
        <f>R177-F177</f>
        <v>-2840</v>
      </c>
      <c r="T177" s="228">
        <f>IF(F177=0,0,S177/F177)</f>
        <v>-1</v>
      </c>
      <c r="U177" s="222">
        <f>R177*$C$4</f>
        <v>0</v>
      </c>
      <c r="V177" s="222">
        <f>U177-G177</f>
        <v>-4004.3999999999996</v>
      </c>
      <c r="W177" s="228">
        <f>IF(G177=0,0,V177/G177)</f>
        <v>-1</v>
      </c>
      <c r="X177" s="228"/>
    </row>
    <row r="178" spans="1:24" ht="15" customHeight="1" x14ac:dyDescent="0.25">
      <c r="A178" s="161" t="s">
        <v>142</v>
      </c>
      <c r="B178" s="144" t="s">
        <v>325</v>
      </c>
      <c r="C178" s="351" t="s">
        <v>326</v>
      </c>
      <c r="D178" s="309">
        <v>2</v>
      </c>
      <c r="E178" s="308">
        <v>500</v>
      </c>
      <c r="F178" s="320">
        <f t="shared" si="30"/>
        <v>1000</v>
      </c>
      <c r="G178" s="37">
        <f>F178*C4</f>
        <v>1410</v>
      </c>
      <c r="H178" s="239"/>
      <c r="I178" s="239"/>
      <c r="J178" s="239"/>
      <c r="K178" s="239"/>
      <c r="L178" s="239"/>
      <c r="M178" s="239"/>
      <c r="N178" s="239"/>
      <c r="O178" s="239"/>
      <c r="P178" s="239"/>
      <c r="Q178" s="250"/>
      <c r="R178" s="261"/>
      <c r="S178" s="222">
        <f>R178-F178</f>
        <v>-1000</v>
      </c>
      <c r="T178" s="228">
        <f>IF(F178=0,0,S178/F178)</f>
        <v>-1</v>
      </c>
      <c r="U178" s="222">
        <f>R178*$C$4</f>
        <v>0</v>
      </c>
      <c r="V178" s="222">
        <f>U178-G178</f>
        <v>-1410</v>
      </c>
      <c r="W178" s="228">
        <f>IF(G178=0,0,V178/G178)</f>
        <v>-1</v>
      </c>
      <c r="X178" s="228"/>
    </row>
    <row r="179" spans="1:24" ht="15" customHeight="1" x14ac:dyDescent="0.25">
      <c r="A179" s="200">
        <v>3.6</v>
      </c>
      <c r="B179" s="144" t="s">
        <v>312</v>
      </c>
      <c r="C179" s="351" t="s">
        <v>326</v>
      </c>
      <c r="D179" s="309">
        <v>1</v>
      </c>
      <c r="E179" s="308">
        <v>2840</v>
      </c>
      <c r="F179" s="320">
        <f t="shared" si="30"/>
        <v>2840</v>
      </c>
      <c r="G179" s="37">
        <f>F179*C4</f>
        <v>4004.3999999999996</v>
      </c>
      <c r="H179" s="239"/>
      <c r="I179" s="239"/>
      <c r="J179" s="239"/>
      <c r="K179" s="239"/>
      <c r="L179" s="239"/>
      <c r="M179" s="239"/>
      <c r="N179" s="239"/>
      <c r="O179" s="239"/>
      <c r="P179" s="239"/>
      <c r="Q179" s="250"/>
      <c r="R179" s="261"/>
      <c r="S179" s="222"/>
      <c r="T179" s="228"/>
      <c r="U179" s="222"/>
      <c r="V179" s="222"/>
      <c r="W179" s="228"/>
      <c r="X179" s="228"/>
    </row>
    <row r="180" spans="1:24" x14ac:dyDescent="0.25">
      <c r="A180" s="200">
        <v>3.8</v>
      </c>
      <c r="B180" s="144" t="s">
        <v>324</v>
      </c>
      <c r="C180" s="351" t="s">
        <v>326</v>
      </c>
      <c r="D180" s="309">
        <v>2</v>
      </c>
      <c r="E180" s="308">
        <v>1000</v>
      </c>
      <c r="F180" s="320">
        <f t="shared" si="30"/>
        <v>2000</v>
      </c>
      <c r="G180" s="37">
        <f>F180*C4</f>
        <v>2820</v>
      </c>
      <c r="H180" s="239"/>
      <c r="I180" s="239"/>
      <c r="J180" s="239"/>
      <c r="K180" s="239"/>
      <c r="L180" s="239"/>
      <c r="M180" s="239"/>
      <c r="N180" s="239"/>
      <c r="O180" s="239"/>
      <c r="P180" s="239"/>
      <c r="Q180" s="250"/>
      <c r="R180" s="261"/>
      <c r="S180" s="222">
        <f>R180-F180</f>
        <v>-2000</v>
      </c>
      <c r="T180" s="228">
        <f>IF(F180=0,0,S180/F180)</f>
        <v>-1</v>
      </c>
      <c r="U180" s="222">
        <f>R180*$C$4</f>
        <v>0</v>
      </c>
      <c r="V180" s="222">
        <f>U180-G180</f>
        <v>-2820</v>
      </c>
      <c r="W180" s="228">
        <f>IF(G180=0,0,V180/G180)</f>
        <v>-1</v>
      </c>
      <c r="X180" s="228"/>
    </row>
    <row r="181" spans="1:24" x14ac:dyDescent="0.25">
      <c r="A181" s="161">
        <v>3.9</v>
      </c>
      <c r="B181" s="144" t="s">
        <v>171</v>
      </c>
      <c r="C181" s="351" t="s">
        <v>326</v>
      </c>
      <c r="D181" s="309">
        <v>1</v>
      </c>
      <c r="E181" s="308">
        <v>5000</v>
      </c>
      <c r="F181" s="320">
        <f t="shared" si="30"/>
        <v>5000</v>
      </c>
      <c r="G181" s="37">
        <f>F181*C4</f>
        <v>7050</v>
      </c>
      <c r="H181" s="239"/>
      <c r="I181" s="239"/>
      <c r="J181" s="239"/>
      <c r="K181" s="239"/>
      <c r="L181" s="239"/>
      <c r="M181" s="239"/>
      <c r="N181" s="239"/>
      <c r="O181" s="239"/>
      <c r="P181" s="239"/>
      <c r="Q181" s="250"/>
      <c r="R181" s="261"/>
      <c r="S181" s="222">
        <f>R181-F181</f>
        <v>-5000</v>
      </c>
      <c r="T181" s="228">
        <f>IF(F181=0,0,S181/F181)</f>
        <v>-1</v>
      </c>
      <c r="U181" s="222">
        <f>R181*$C$4</f>
        <v>0</v>
      </c>
      <c r="V181" s="222">
        <f>U181-G181</f>
        <v>-7050</v>
      </c>
      <c r="W181" s="228">
        <f>IF(G181=0,0,V181/G181)</f>
        <v>-1</v>
      </c>
      <c r="X181" s="228"/>
    </row>
    <row r="182" spans="1:24" ht="13.8" thickBot="1" x14ac:dyDescent="0.3">
      <c r="A182" s="103"/>
      <c r="B182" s="150" t="s">
        <v>114</v>
      </c>
      <c r="C182" s="294"/>
      <c r="D182" s="293"/>
      <c r="E182" s="292"/>
      <c r="F182" s="316">
        <f>SUM(F174:F181)</f>
        <v>13680</v>
      </c>
      <c r="G182" s="316">
        <f>SUM(G174:G181)</f>
        <v>19288.8</v>
      </c>
      <c r="H182" s="286"/>
      <c r="I182" s="286"/>
      <c r="J182" s="286"/>
      <c r="K182" s="286"/>
      <c r="L182" s="286"/>
      <c r="M182" s="286"/>
      <c r="N182" s="286"/>
      <c r="O182" s="286"/>
      <c r="P182" s="286"/>
      <c r="Q182" s="312"/>
      <c r="R182" s="311"/>
      <c r="S182" s="234">
        <f>R182-F182</f>
        <v>-13680</v>
      </c>
      <c r="T182" s="235">
        <f>IF(F182=0,0,S182/F182)</f>
        <v>-1</v>
      </c>
      <c r="U182" s="234">
        <f>R182*$C$4</f>
        <v>0</v>
      </c>
      <c r="V182" s="234">
        <f>U182-G182</f>
        <v>-19288.8</v>
      </c>
      <c r="W182" s="235">
        <f>IF(G182=0,0,V182/G182)</f>
        <v>-1</v>
      </c>
      <c r="X182" s="235"/>
    </row>
    <row r="183" spans="1:24" ht="13.8" thickTop="1" x14ac:dyDescent="0.25">
      <c r="B183" s="81"/>
      <c r="C183" s="341"/>
      <c r="D183" s="340"/>
      <c r="E183" s="268"/>
      <c r="F183" s="276"/>
      <c r="G183" s="1"/>
      <c r="H183" s="239"/>
      <c r="I183" s="239"/>
      <c r="J183" s="239"/>
      <c r="K183" s="239"/>
      <c r="L183" s="239"/>
      <c r="M183" s="239"/>
      <c r="N183" s="239"/>
      <c r="O183" s="239"/>
      <c r="P183" s="239"/>
      <c r="Q183" s="250"/>
      <c r="R183" s="256"/>
      <c r="S183" s="222"/>
      <c r="T183" s="228"/>
      <c r="U183" s="222"/>
      <c r="V183" s="222"/>
      <c r="W183" s="228"/>
      <c r="X183" s="228"/>
    </row>
    <row r="184" spans="1:24" x14ac:dyDescent="0.25">
      <c r="A184" s="129">
        <v>4</v>
      </c>
      <c r="B184" s="130" t="s">
        <v>113</v>
      </c>
      <c r="C184" s="329"/>
      <c r="D184" s="328"/>
      <c r="E184" s="327"/>
      <c r="F184" s="327"/>
      <c r="G184" s="151"/>
      <c r="H184" s="238"/>
      <c r="I184" s="238"/>
      <c r="J184" s="238"/>
      <c r="K184" s="238"/>
      <c r="L184" s="238"/>
      <c r="M184" s="238"/>
      <c r="N184" s="238"/>
      <c r="O184" s="238"/>
      <c r="P184" s="238"/>
      <c r="Q184" s="251"/>
      <c r="R184" s="259"/>
      <c r="S184" s="227"/>
      <c r="T184" s="229"/>
      <c r="U184" s="227"/>
      <c r="V184" s="227"/>
      <c r="W184" s="229"/>
      <c r="X184" s="229"/>
    </row>
    <row r="185" spans="1:24" x14ac:dyDescent="0.25">
      <c r="A185" s="74" t="s">
        <v>19</v>
      </c>
      <c r="B185" s="81"/>
      <c r="C185" s="341"/>
      <c r="D185" s="340"/>
      <c r="E185" s="268"/>
      <c r="F185" s="276"/>
      <c r="G185" s="1"/>
      <c r="H185" s="239"/>
      <c r="I185" s="239"/>
      <c r="J185" s="239"/>
      <c r="K185" s="239"/>
      <c r="L185" s="239"/>
      <c r="M185" s="239"/>
      <c r="N185" s="239"/>
      <c r="O185" s="239"/>
      <c r="P185" s="239"/>
      <c r="Q185" s="250"/>
      <c r="R185" s="256"/>
      <c r="S185" s="222"/>
      <c r="T185" s="228"/>
      <c r="U185" s="222"/>
      <c r="V185" s="222"/>
      <c r="W185" s="228"/>
      <c r="X185" s="228"/>
    </row>
    <row r="186" spans="1:24" x14ac:dyDescent="0.25">
      <c r="A186" s="81" t="s">
        <v>148</v>
      </c>
      <c r="B186" s="167" t="s">
        <v>48</v>
      </c>
      <c r="C186" s="310"/>
      <c r="D186" s="339"/>
      <c r="E186" s="338"/>
      <c r="F186" s="276">
        <f>D186*E186</f>
        <v>0</v>
      </c>
      <c r="G186" s="1">
        <f>F186*C4</f>
        <v>0</v>
      </c>
      <c r="H186" s="239"/>
      <c r="I186" s="239"/>
      <c r="J186" s="239"/>
      <c r="K186" s="239"/>
      <c r="L186" s="239"/>
      <c r="M186" s="239"/>
      <c r="N186" s="239"/>
      <c r="O186" s="239"/>
      <c r="P186" s="239"/>
      <c r="Q186" s="250"/>
      <c r="R186" s="261"/>
      <c r="S186" s="222">
        <f>R186-F186</f>
        <v>0</v>
      </c>
      <c r="T186" s="228">
        <f>IF(F186=0,0,S186/F186)</f>
        <v>0</v>
      </c>
      <c r="U186" s="222">
        <f>R186*$C$4</f>
        <v>0</v>
      </c>
      <c r="V186" s="222">
        <f>U186-G186</f>
        <v>0</v>
      </c>
      <c r="W186" s="228">
        <f>IF(G186=0,0,V186/G186)</f>
        <v>0</v>
      </c>
      <c r="X186" s="228"/>
    </row>
    <row r="187" spans="1:24" x14ac:dyDescent="0.25">
      <c r="A187" s="81" t="s">
        <v>149</v>
      </c>
      <c r="B187" s="167" t="s">
        <v>323</v>
      </c>
      <c r="C187" s="310" t="s">
        <v>314</v>
      </c>
      <c r="D187" s="339">
        <v>12</v>
      </c>
      <c r="E187" s="338">
        <v>400</v>
      </c>
      <c r="F187" s="276">
        <f>D187*E187</f>
        <v>4800</v>
      </c>
      <c r="G187" s="1">
        <f>F187*C4</f>
        <v>6768</v>
      </c>
      <c r="H187" s="239"/>
      <c r="I187" s="239"/>
      <c r="J187" s="239"/>
      <c r="K187" s="239"/>
      <c r="L187" s="239"/>
      <c r="M187" s="239"/>
      <c r="N187" s="239"/>
      <c r="O187" s="239"/>
      <c r="P187" s="239"/>
      <c r="Q187" s="250"/>
      <c r="R187" s="261"/>
      <c r="S187" s="222">
        <f>R187-F187</f>
        <v>-4800</v>
      </c>
      <c r="T187" s="228">
        <f>IF(F187=0,0,S187/F187)</f>
        <v>-1</v>
      </c>
      <c r="U187" s="222">
        <f>R187*$C$4</f>
        <v>0</v>
      </c>
      <c r="V187" s="222">
        <f>U187-G187</f>
        <v>-6768</v>
      </c>
      <c r="W187" s="228">
        <f>IF(G187=0,0,V187/G187)</f>
        <v>-1</v>
      </c>
      <c r="X187" s="228"/>
    </row>
    <row r="188" spans="1:24" x14ac:dyDescent="0.25">
      <c r="A188" s="74" t="s">
        <v>7</v>
      </c>
      <c r="B188" s="141"/>
      <c r="C188" s="337"/>
      <c r="D188" s="336"/>
      <c r="E188" s="335"/>
      <c r="F188" s="276"/>
      <c r="G188" s="1"/>
      <c r="H188" s="239"/>
      <c r="I188" s="239"/>
      <c r="J188" s="239"/>
      <c r="K188" s="239"/>
      <c r="L188" s="239"/>
      <c r="M188" s="239"/>
      <c r="N188" s="239"/>
      <c r="O188" s="239"/>
      <c r="P188" s="239"/>
      <c r="Q188" s="250"/>
      <c r="R188" s="256"/>
      <c r="S188" s="222"/>
      <c r="T188" s="228"/>
      <c r="U188" s="222"/>
      <c r="V188" s="222"/>
      <c r="W188" s="228"/>
      <c r="X188" s="228"/>
    </row>
    <row r="189" spans="1:24" x14ac:dyDescent="0.25">
      <c r="A189" s="81" t="s">
        <v>150</v>
      </c>
      <c r="B189" s="167" t="s">
        <v>50</v>
      </c>
      <c r="C189" s="309"/>
      <c r="D189" s="308"/>
      <c r="E189" s="307"/>
      <c r="F189" s="276">
        <f>D189*E189</f>
        <v>0</v>
      </c>
      <c r="G189" s="35">
        <f>F189*C4</f>
        <v>0</v>
      </c>
      <c r="H189" s="239"/>
      <c r="I189" s="239"/>
      <c r="J189" s="239"/>
      <c r="K189" s="239"/>
      <c r="L189" s="239"/>
      <c r="M189" s="239"/>
      <c r="N189" s="239"/>
      <c r="O189" s="239"/>
      <c r="P189" s="239"/>
      <c r="Q189" s="250"/>
      <c r="R189" s="261"/>
      <c r="S189" s="222">
        <f>R189-F189</f>
        <v>0</v>
      </c>
      <c r="T189" s="228">
        <f>IF(F189=0,0,S189/F189)</f>
        <v>0</v>
      </c>
      <c r="U189" s="222">
        <f>R189*$C$4</f>
        <v>0</v>
      </c>
      <c r="V189" s="222">
        <f>U189-G189</f>
        <v>0</v>
      </c>
      <c r="W189" s="228">
        <f>IF(G189=0,0,V189/G189)</f>
        <v>0</v>
      </c>
      <c r="X189" s="228"/>
    </row>
    <row r="190" spans="1:24" x14ac:dyDescent="0.25">
      <c r="A190" s="81" t="s">
        <v>151</v>
      </c>
      <c r="B190" s="141" t="s">
        <v>51</v>
      </c>
      <c r="C190" s="309"/>
      <c r="D190" s="308"/>
      <c r="E190" s="307"/>
      <c r="F190" s="276">
        <f>D190*E190</f>
        <v>0</v>
      </c>
      <c r="G190" s="35">
        <f>F190*C4</f>
        <v>0</v>
      </c>
      <c r="H190" s="239"/>
      <c r="I190" s="239"/>
      <c r="J190" s="239"/>
      <c r="K190" s="239"/>
      <c r="L190" s="239"/>
      <c r="M190" s="239"/>
      <c r="N190" s="239"/>
      <c r="O190" s="239"/>
      <c r="P190" s="239"/>
      <c r="Q190" s="250"/>
      <c r="R190" s="261"/>
      <c r="S190" s="222">
        <f>R190-F190</f>
        <v>0</v>
      </c>
      <c r="T190" s="228">
        <f>IF(F190=0,0,S190/F190)</f>
        <v>0</v>
      </c>
      <c r="U190" s="222">
        <f>R190*$C$4</f>
        <v>0</v>
      </c>
      <c r="V190" s="222">
        <f>U190-G190</f>
        <v>0</v>
      </c>
      <c r="W190" s="228">
        <f>IF(G190=0,0,V190/G190)</f>
        <v>0</v>
      </c>
      <c r="X190" s="228"/>
    </row>
    <row r="191" spans="1:24" x14ac:dyDescent="0.25">
      <c r="A191" s="74" t="s">
        <v>8</v>
      </c>
      <c r="B191" s="141"/>
      <c r="C191" s="334"/>
      <c r="D191" s="333"/>
      <c r="E191" s="332"/>
      <c r="F191" s="276"/>
      <c r="G191" s="1"/>
      <c r="H191" s="239"/>
      <c r="I191" s="239"/>
      <c r="J191" s="239"/>
      <c r="K191" s="239"/>
      <c r="L191" s="239"/>
      <c r="M191" s="239"/>
      <c r="N191" s="239"/>
      <c r="O191" s="239"/>
      <c r="P191" s="239"/>
      <c r="Q191" s="250"/>
      <c r="R191" s="256"/>
      <c r="S191" s="222"/>
      <c r="T191" s="228"/>
      <c r="U191" s="222"/>
      <c r="V191" s="222"/>
      <c r="W191" s="228"/>
      <c r="X191" s="228"/>
    </row>
    <row r="192" spans="1:24" x14ac:dyDescent="0.25">
      <c r="A192" s="81" t="s">
        <v>156</v>
      </c>
      <c r="B192" s="144" t="s">
        <v>187</v>
      </c>
      <c r="C192" s="309"/>
      <c r="D192" s="308"/>
      <c r="E192" s="307"/>
      <c r="F192" s="276">
        <f>D192*E192</f>
        <v>0</v>
      </c>
      <c r="G192" s="1">
        <f>F192*C4</f>
        <v>0</v>
      </c>
      <c r="H192" s="239"/>
      <c r="I192" s="239"/>
      <c r="J192" s="239"/>
      <c r="K192" s="239"/>
      <c r="L192" s="239"/>
      <c r="M192" s="239"/>
      <c r="N192" s="239"/>
      <c r="O192" s="239"/>
      <c r="P192" s="239"/>
      <c r="Q192" s="250"/>
      <c r="R192" s="261"/>
      <c r="S192" s="222">
        <f>R192-F192</f>
        <v>0</v>
      </c>
      <c r="T192" s="228">
        <f>IF(F192=0,0,S192/F192)</f>
        <v>0</v>
      </c>
      <c r="U192" s="222">
        <f>R192*$C$4</f>
        <v>0</v>
      </c>
      <c r="V192" s="222">
        <f>U192-G192</f>
        <v>0</v>
      </c>
      <c r="W192" s="228">
        <f>IF(G192=0,0,V192/G192)</f>
        <v>0</v>
      </c>
      <c r="X192" s="228"/>
    </row>
    <row r="193" spans="1:24" x14ac:dyDescent="0.25">
      <c r="A193" s="81" t="s">
        <v>152</v>
      </c>
      <c r="B193" s="153" t="s">
        <v>54</v>
      </c>
      <c r="C193" s="309"/>
      <c r="D193" s="308"/>
      <c r="E193" s="307"/>
      <c r="F193" s="276">
        <f>D193*E193</f>
        <v>0</v>
      </c>
      <c r="G193" s="1">
        <f>F193*C4</f>
        <v>0</v>
      </c>
      <c r="H193" s="239"/>
      <c r="I193" s="239"/>
      <c r="J193" s="239"/>
      <c r="K193" s="239"/>
      <c r="L193" s="239"/>
      <c r="M193" s="239"/>
      <c r="N193" s="239"/>
      <c r="O193" s="239"/>
      <c r="P193" s="239"/>
      <c r="Q193" s="250"/>
      <c r="R193" s="261"/>
      <c r="S193" s="222">
        <f>R193-F193</f>
        <v>0</v>
      </c>
      <c r="T193" s="228">
        <f>IF(F193=0,0,S193/F193)</f>
        <v>0</v>
      </c>
      <c r="U193" s="222">
        <f>R193*$C$4</f>
        <v>0</v>
      </c>
      <c r="V193" s="222">
        <f>U193-G193</f>
        <v>0</v>
      </c>
      <c r="W193" s="228">
        <f>IF(G193=0,0,V193/G193)</f>
        <v>0</v>
      </c>
      <c r="X193" s="228"/>
    </row>
    <row r="194" spans="1:24" x14ac:dyDescent="0.25">
      <c r="A194" s="81" t="s">
        <v>153</v>
      </c>
      <c r="B194" s="153" t="s">
        <v>55</v>
      </c>
      <c r="C194" s="309"/>
      <c r="D194" s="308"/>
      <c r="E194" s="331"/>
      <c r="F194" s="276">
        <f>D194*E194</f>
        <v>0</v>
      </c>
      <c r="G194" s="1">
        <f>F194*C4</f>
        <v>0</v>
      </c>
      <c r="H194" s="239"/>
      <c r="I194" s="239"/>
      <c r="J194" s="239"/>
      <c r="K194" s="239"/>
      <c r="L194" s="239"/>
      <c r="M194" s="239"/>
      <c r="N194" s="239"/>
      <c r="O194" s="239"/>
      <c r="P194" s="239"/>
      <c r="Q194" s="250"/>
      <c r="R194" s="261"/>
      <c r="S194" s="222">
        <f>R194-F194</f>
        <v>0</v>
      </c>
      <c r="T194" s="228">
        <f>IF(F194=0,0,S194/F194)</f>
        <v>0</v>
      </c>
      <c r="U194" s="222">
        <f>R194*$C$4</f>
        <v>0</v>
      </c>
      <c r="V194" s="222">
        <f>U194-G194</f>
        <v>0</v>
      </c>
      <c r="W194" s="228">
        <f>IF(G194=0,0,V194/G194)</f>
        <v>0</v>
      </c>
      <c r="X194" s="228"/>
    </row>
    <row r="195" spans="1:24" x14ac:dyDescent="0.25">
      <c r="A195" s="81" t="s">
        <v>154</v>
      </c>
      <c r="B195" s="153" t="s">
        <v>131</v>
      </c>
      <c r="C195" s="309"/>
      <c r="D195" s="308"/>
      <c r="E195" s="330"/>
      <c r="F195" s="276">
        <f>D195*E195</f>
        <v>0</v>
      </c>
      <c r="G195" s="1">
        <f>F195*C4</f>
        <v>0</v>
      </c>
      <c r="H195" s="239"/>
      <c r="I195" s="239"/>
      <c r="J195" s="239"/>
      <c r="K195" s="239"/>
      <c r="L195" s="239"/>
      <c r="M195" s="239"/>
      <c r="N195" s="239"/>
      <c r="O195" s="239"/>
      <c r="P195" s="239"/>
      <c r="Q195" s="250"/>
      <c r="R195" s="261"/>
      <c r="S195" s="222">
        <f>R195-F195</f>
        <v>0</v>
      </c>
      <c r="T195" s="228">
        <f>IF(F195=0,0,S195/F195)</f>
        <v>0</v>
      </c>
      <c r="U195" s="222">
        <f>R195*$C$4</f>
        <v>0</v>
      </c>
      <c r="V195" s="222">
        <f>U195-G195</f>
        <v>0</v>
      </c>
      <c r="W195" s="228">
        <f>IF(G195=0,0,V195/G195)</f>
        <v>0</v>
      </c>
      <c r="X195" s="228"/>
    </row>
    <row r="196" spans="1:24" x14ac:dyDescent="0.25">
      <c r="A196" s="81" t="s">
        <v>155</v>
      </c>
      <c r="B196" s="153" t="s">
        <v>132</v>
      </c>
      <c r="C196" s="309"/>
      <c r="D196" s="308"/>
      <c r="E196" s="330"/>
      <c r="F196" s="276">
        <f>D196*E196</f>
        <v>0</v>
      </c>
      <c r="G196" s="1">
        <f>F196*C4</f>
        <v>0</v>
      </c>
      <c r="H196" s="239"/>
      <c r="I196" s="239"/>
      <c r="J196" s="239"/>
      <c r="K196" s="239"/>
      <c r="L196" s="239"/>
      <c r="M196" s="239"/>
      <c r="N196" s="239"/>
      <c r="O196" s="239"/>
      <c r="P196" s="239"/>
      <c r="Q196" s="250"/>
      <c r="R196" s="261"/>
      <c r="S196" s="222">
        <f>R196-F196</f>
        <v>0</v>
      </c>
      <c r="T196" s="228">
        <f>IF(F196=0,0,S196/F196)</f>
        <v>0</v>
      </c>
      <c r="U196" s="222">
        <f>R196*$C$4</f>
        <v>0</v>
      </c>
      <c r="V196" s="222">
        <f>U196-G196</f>
        <v>0</v>
      </c>
      <c r="W196" s="228">
        <f>IF(G196=0,0,V196/G196)</f>
        <v>0</v>
      </c>
      <c r="X196" s="228"/>
    </row>
    <row r="197" spans="1:24" x14ac:dyDescent="0.25">
      <c r="C197" s="5"/>
      <c r="D197" s="5"/>
      <c r="E197" s="5"/>
      <c r="F197" s="172"/>
      <c r="H197" s="239"/>
      <c r="I197" s="239"/>
      <c r="J197" s="239"/>
      <c r="K197" s="239"/>
      <c r="L197" s="239"/>
      <c r="M197" s="239"/>
      <c r="N197" s="239"/>
      <c r="O197" s="239"/>
      <c r="P197" s="239"/>
      <c r="Q197" s="250"/>
      <c r="R197" s="256"/>
      <c r="S197" s="222"/>
      <c r="T197" s="228"/>
      <c r="U197" s="222"/>
      <c r="V197" s="222"/>
      <c r="W197" s="228"/>
      <c r="X197" s="228"/>
    </row>
    <row r="198" spans="1:24" x14ac:dyDescent="0.25">
      <c r="A198" s="203"/>
      <c r="B198" s="204" t="s">
        <v>194</v>
      </c>
      <c r="C198" s="204"/>
      <c r="D198" s="204"/>
      <c r="E198" s="204"/>
      <c r="F198" s="205">
        <f>SUM(F186:F188)</f>
        <v>4800</v>
      </c>
      <c r="G198" s="204">
        <f>SUM(G186:G188)</f>
        <v>6768</v>
      </c>
      <c r="H198" s="239"/>
      <c r="I198" s="239"/>
      <c r="J198" s="239"/>
      <c r="K198" s="239"/>
      <c r="L198" s="239"/>
      <c r="M198" s="239"/>
      <c r="N198" s="239"/>
      <c r="O198" s="239"/>
      <c r="P198" s="239"/>
      <c r="Q198" s="250"/>
      <c r="R198" s="256"/>
      <c r="S198" s="222">
        <f>R198-F198</f>
        <v>-4800</v>
      </c>
      <c r="T198" s="228">
        <f>IF(F198=0,0,S198/F198)</f>
        <v>-1</v>
      </c>
      <c r="U198" s="222">
        <f>R198*$C$4</f>
        <v>0</v>
      </c>
      <c r="V198" s="222">
        <f>U198-G198</f>
        <v>-6768</v>
      </c>
      <c r="W198" s="228">
        <f>IF(G198=0,0,V198/G198)</f>
        <v>-1</v>
      </c>
      <c r="X198" s="228"/>
    </row>
    <row r="199" spans="1:24" x14ac:dyDescent="0.25">
      <c r="A199" s="203"/>
      <c r="B199" s="204" t="s">
        <v>7</v>
      </c>
      <c r="C199" s="204"/>
      <c r="D199" s="204"/>
      <c r="E199" s="204"/>
      <c r="F199" s="205">
        <f>SUM(F189:F191)</f>
        <v>0</v>
      </c>
      <c r="G199" s="204">
        <f>SUM(G189:G191)</f>
        <v>0</v>
      </c>
      <c r="H199" s="239"/>
      <c r="I199" s="239"/>
      <c r="J199" s="239"/>
      <c r="K199" s="239"/>
      <c r="L199" s="239"/>
      <c r="M199" s="239"/>
      <c r="N199" s="239"/>
      <c r="O199" s="239"/>
      <c r="P199" s="239"/>
      <c r="Q199" s="250"/>
      <c r="R199" s="256"/>
      <c r="S199" s="222">
        <f>R199-F199</f>
        <v>0</v>
      </c>
      <c r="T199" s="228">
        <f>IF(F199=0,0,S199/F199)</f>
        <v>0</v>
      </c>
      <c r="U199" s="222">
        <f>R199*$C$4</f>
        <v>0</v>
      </c>
      <c r="V199" s="222">
        <f>U199-G199</f>
        <v>0</v>
      </c>
      <c r="W199" s="228">
        <f>IF(G199=0,0,V199/G199)</f>
        <v>0</v>
      </c>
      <c r="X199" s="228"/>
    </row>
    <row r="200" spans="1:24" x14ac:dyDescent="0.25">
      <c r="A200" s="203"/>
      <c r="B200" s="204" t="s">
        <v>8</v>
      </c>
      <c r="C200" s="204"/>
      <c r="D200" s="204"/>
      <c r="E200" s="204"/>
      <c r="F200" s="205">
        <f>SUM(F192:F197)</f>
        <v>0</v>
      </c>
      <c r="G200" s="204">
        <f>SUM(G192:G197)</f>
        <v>0</v>
      </c>
      <c r="H200" s="239"/>
      <c r="I200" s="239"/>
      <c r="J200" s="239"/>
      <c r="K200" s="239"/>
      <c r="L200" s="239"/>
      <c r="M200" s="239"/>
      <c r="N200" s="239"/>
      <c r="O200" s="239"/>
      <c r="P200" s="239"/>
      <c r="Q200" s="250"/>
      <c r="R200" s="256"/>
      <c r="S200" s="222">
        <f>R200-F200</f>
        <v>0</v>
      </c>
      <c r="T200" s="228">
        <f>IF(F200=0,0,S200/F200)</f>
        <v>0</v>
      </c>
      <c r="U200" s="222">
        <f>R200*$C$4</f>
        <v>0</v>
      </c>
      <c r="V200" s="222">
        <f>U200-G200</f>
        <v>0</v>
      </c>
      <c r="W200" s="228">
        <f>IF(G200=0,0,V200/G200)</f>
        <v>0</v>
      </c>
      <c r="X200" s="228"/>
    </row>
    <row r="201" spans="1:24" ht="13.8" thickBot="1" x14ac:dyDescent="0.3">
      <c r="A201" s="103"/>
      <c r="B201" s="150" t="s">
        <v>115</v>
      </c>
      <c r="C201" s="294"/>
      <c r="D201" s="293"/>
      <c r="E201" s="292"/>
      <c r="F201" s="316">
        <f>SUM(F186+F187+F189+F190+F192+F193+F194+F195+F196)</f>
        <v>4800</v>
      </c>
      <c r="G201" s="316">
        <f>SUM(G186+G187+G189+G190+G192+G194+G193+G195+G196)</f>
        <v>6768</v>
      </c>
      <c r="H201" s="286"/>
      <c r="I201" s="286"/>
      <c r="J201" s="286"/>
      <c r="K201" s="286"/>
      <c r="L201" s="286"/>
      <c r="M201" s="286"/>
      <c r="N201" s="286"/>
      <c r="O201" s="286"/>
      <c r="P201" s="286"/>
      <c r="Q201" s="312"/>
      <c r="R201" s="311"/>
      <c r="S201" s="234">
        <f>R201-F201</f>
        <v>-4800</v>
      </c>
      <c r="T201" s="235">
        <f>IF(F201=0,0,S201/F201)</f>
        <v>-1</v>
      </c>
      <c r="U201" s="234">
        <f>R201*$C$4</f>
        <v>0</v>
      </c>
      <c r="V201" s="234">
        <f>U201-G201</f>
        <v>-6768</v>
      </c>
      <c r="W201" s="235">
        <f>IF(G201=0,0,V201/G201)</f>
        <v>-1</v>
      </c>
      <c r="X201" s="235"/>
    </row>
    <row r="202" spans="1:24" ht="13.8" thickTop="1" x14ac:dyDescent="0.25">
      <c r="A202" s="103"/>
      <c r="B202" s="150"/>
      <c r="C202" s="294"/>
      <c r="D202" s="293"/>
      <c r="E202" s="292"/>
      <c r="F202" s="315"/>
      <c r="G202" s="315"/>
      <c r="H202" s="286"/>
      <c r="I202" s="286"/>
      <c r="J202" s="286"/>
      <c r="K202" s="286"/>
      <c r="L202" s="286"/>
      <c r="M202" s="286"/>
      <c r="N202" s="286"/>
      <c r="O202" s="286"/>
      <c r="P202" s="286"/>
      <c r="Q202" s="312"/>
      <c r="R202" s="314"/>
      <c r="S202" s="222"/>
      <c r="T202" s="228"/>
      <c r="U202" s="222"/>
      <c r="V202" s="222"/>
      <c r="W202" s="228"/>
      <c r="X202" s="228"/>
    </row>
    <row r="203" spans="1:24" x14ac:dyDescent="0.25">
      <c r="A203" s="129">
        <v>5</v>
      </c>
      <c r="B203" s="130" t="s">
        <v>117</v>
      </c>
      <c r="C203" s="329"/>
      <c r="D203" s="328"/>
      <c r="E203" s="327"/>
      <c r="F203" s="327"/>
      <c r="G203" s="151"/>
      <c r="H203" s="238"/>
      <c r="I203" s="238"/>
      <c r="J203" s="238"/>
      <c r="K203" s="238"/>
      <c r="L203" s="238"/>
      <c r="M203" s="238"/>
      <c r="N203" s="238"/>
      <c r="O203" s="238"/>
      <c r="P203" s="238"/>
      <c r="Q203" s="251"/>
      <c r="R203" s="259"/>
      <c r="S203" s="227"/>
      <c r="T203" s="229"/>
      <c r="U203" s="227"/>
      <c r="V203" s="227"/>
      <c r="W203" s="229"/>
      <c r="X203" s="229"/>
    </row>
    <row r="204" spans="1:24" x14ac:dyDescent="0.25">
      <c r="A204" s="81" t="s">
        <v>157</v>
      </c>
      <c r="B204" s="167" t="s">
        <v>11</v>
      </c>
      <c r="C204" s="309"/>
      <c r="D204" s="308"/>
      <c r="E204" s="307"/>
      <c r="F204" s="276">
        <f>D204*E204</f>
        <v>0</v>
      </c>
      <c r="G204" s="35">
        <f>F204*C4</f>
        <v>0</v>
      </c>
      <c r="H204" s="239"/>
      <c r="I204" s="239"/>
      <c r="J204" s="239"/>
      <c r="K204" s="239"/>
      <c r="L204" s="239"/>
      <c r="M204" s="239"/>
      <c r="N204" s="239"/>
      <c r="O204" s="239"/>
      <c r="P204" s="239"/>
      <c r="Q204" s="250"/>
      <c r="R204" s="261"/>
      <c r="S204" s="222">
        <f>R204-F204</f>
        <v>0</v>
      </c>
      <c r="T204" s="228">
        <f>IF(F204=0,0,S204/F204)</f>
        <v>0</v>
      </c>
      <c r="U204" s="222">
        <f>R204*$C$4</f>
        <v>0</v>
      </c>
      <c r="V204" s="222">
        <f>U204-G204</f>
        <v>0</v>
      </c>
      <c r="W204" s="228">
        <f>IF(G204=0,0,V204/G204)</f>
        <v>0</v>
      </c>
      <c r="X204" s="228"/>
    </row>
    <row r="205" spans="1:24" x14ac:dyDescent="0.25">
      <c r="A205" s="81" t="s">
        <v>158</v>
      </c>
      <c r="B205" s="167" t="s">
        <v>12</v>
      </c>
      <c r="C205" s="309"/>
      <c r="D205" s="308"/>
      <c r="E205" s="307"/>
      <c r="F205" s="276">
        <f>D205*E205</f>
        <v>0</v>
      </c>
      <c r="G205" s="35">
        <f>F205*C4</f>
        <v>0</v>
      </c>
      <c r="H205" s="239"/>
      <c r="I205" s="239"/>
      <c r="J205" s="239"/>
      <c r="K205" s="239"/>
      <c r="L205" s="239"/>
      <c r="M205" s="239"/>
      <c r="N205" s="239"/>
      <c r="O205" s="239"/>
      <c r="P205" s="239"/>
      <c r="Q205" s="250"/>
      <c r="R205" s="261"/>
      <c r="S205" s="222">
        <f>R205-F205</f>
        <v>0</v>
      </c>
      <c r="T205" s="228">
        <f>IF(F205=0,0,S205/F205)</f>
        <v>0</v>
      </c>
      <c r="U205" s="222">
        <f>R205*$C$4</f>
        <v>0</v>
      </c>
      <c r="V205" s="222">
        <f>U205-G205</f>
        <v>0</v>
      </c>
      <c r="W205" s="228">
        <f>IF(G205=0,0,V205/G205)</f>
        <v>0</v>
      </c>
      <c r="X205" s="228"/>
    </row>
    <row r="206" spans="1:24" x14ac:dyDescent="0.25">
      <c r="A206" s="81" t="s">
        <v>159</v>
      </c>
      <c r="B206" s="167" t="s">
        <v>13</v>
      </c>
      <c r="C206" s="309"/>
      <c r="D206" s="308"/>
      <c r="E206" s="307"/>
      <c r="F206" s="276">
        <f>D206*E206</f>
        <v>0</v>
      </c>
      <c r="G206" s="35">
        <f>F206*C4</f>
        <v>0</v>
      </c>
      <c r="H206" s="239"/>
      <c r="I206" s="239"/>
      <c r="J206" s="239"/>
      <c r="K206" s="239"/>
      <c r="L206" s="239"/>
      <c r="M206" s="239"/>
      <c r="N206" s="239"/>
      <c r="O206" s="239"/>
      <c r="P206" s="239"/>
      <c r="Q206" s="250"/>
      <c r="R206" s="261"/>
      <c r="S206" s="222">
        <f>R206-F206</f>
        <v>0</v>
      </c>
      <c r="T206" s="228">
        <f>IF(F206=0,0,S206/F206)</f>
        <v>0</v>
      </c>
      <c r="U206" s="222">
        <f>R206*$C$4</f>
        <v>0</v>
      </c>
      <c r="V206" s="222">
        <f>U206-G206</f>
        <v>0</v>
      </c>
      <c r="W206" s="228">
        <f>IF(G206=0,0,V206/G206)</f>
        <v>0</v>
      </c>
      <c r="X206" s="228"/>
    </row>
    <row r="207" spans="1:24" x14ac:dyDescent="0.25">
      <c r="A207" s="81" t="s">
        <v>160</v>
      </c>
      <c r="B207" s="167" t="s">
        <v>14</v>
      </c>
      <c r="C207" s="309"/>
      <c r="D207" s="308"/>
      <c r="E207" s="307"/>
      <c r="F207" s="276">
        <f>D207*E207</f>
        <v>0</v>
      </c>
      <c r="G207" s="35">
        <f>F207*C4</f>
        <v>0</v>
      </c>
      <c r="H207" s="239"/>
      <c r="I207" s="239"/>
      <c r="J207" s="239"/>
      <c r="K207" s="239"/>
      <c r="L207" s="239"/>
      <c r="M207" s="239"/>
      <c r="N207" s="239"/>
      <c r="O207" s="239"/>
      <c r="P207" s="239"/>
      <c r="Q207" s="250"/>
      <c r="R207" s="261"/>
      <c r="S207" s="222">
        <f>R207-F207</f>
        <v>0</v>
      </c>
      <c r="T207" s="228">
        <f>IF(F207=0,0,S207/F207)</f>
        <v>0</v>
      </c>
      <c r="U207" s="222">
        <f>R207*$C$4</f>
        <v>0</v>
      </c>
      <c r="V207" s="222">
        <f>U207-G207</f>
        <v>0</v>
      </c>
      <c r="W207" s="228">
        <f>IF(G207=0,0,V207/G207)</f>
        <v>0</v>
      </c>
      <c r="X207" s="228"/>
    </row>
    <row r="208" spans="1:24" ht="26.4" x14ac:dyDescent="0.25">
      <c r="A208" s="81" t="s">
        <v>161</v>
      </c>
      <c r="B208" s="167" t="s">
        <v>60</v>
      </c>
      <c r="C208" s="309"/>
      <c r="D208" s="308"/>
      <c r="E208" s="307"/>
      <c r="F208" s="276">
        <f>D208*E208</f>
        <v>0</v>
      </c>
      <c r="G208" s="35">
        <f>F208*C4</f>
        <v>0</v>
      </c>
      <c r="H208" s="239"/>
      <c r="I208" s="239"/>
      <c r="J208" s="239"/>
      <c r="K208" s="239"/>
      <c r="L208" s="239"/>
      <c r="M208" s="239"/>
      <c r="N208" s="239"/>
      <c r="O208" s="239"/>
      <c r="P208" s="239"/>
      <c r="Q208" s="250"/>
      <c r="R208" s="261"/>
      <c r="S208" s="222">
        <f>R208-F208</f>
        <v>0</v>
      </c>
      <c r="T208" s="228">
        <f>IF(F208=0,0,S208/F208)</f>
        <v>0</v>
      </c>
      <c r="U208" s="222">
        <f>R208*$C$4</f>
        <v>0</v>
      </c>
      <c r="V208" s="222">
        <f>U208-G208</f>
        <v>0</v>
      </c>
      <c r="W208" s="228">
        <f>IF(G208=0,0,V208/G208)</f>
        <v>0</v>
      </c>
      <c r="X208" s="228"/>
    </row>
    <row r="209" spans="1:28" x14ac:dyDescent="0.25">
      <c r="B209" s="167"/>
      <c r="C209" s="306"/>
      <c r="D209" s="305"/>
      <c r="E209" s="304"/>
      <c r="F209" s="276"/>
      <c r="H209" s="239"/>
      <c r="I209" s="239"/>
      <c r="J209" s="239"/>
      <c r="K209" s="239"/>
      <c r="L209" s="239"/>
      <c r="M209" s="239"/>
      <c r="N209" s="239"/>
      <c r="O209" s="239"/>
      <c r="P209" s="239"/>
      <c r="Q209" s="250"/>
      <c r="R209" s="256"/>
      <c r="S209" s="222"/>
      <c r="T209" s="228"/>
      <c r="U209" s="222"/>
      <c r="V209" s="222"/>
      <c r="W209" s="228"/>
      <c r="X209" s="228"/>
    </row>
    <row r="210" spans="1:28" ht="13.8" thickBot="1" x14ac:dyDescent="0.3">
      <c r="A210" s="103"/>
      <c r="B210" s="150" t="s">
        <v>118</v>
      </c>
      <c r="C210" s="294"/>
      <c r="D210" s="293"/>
      <c r="E210" s="292"/>
      <c r="F210" s="316">
        <f>SUM(F204:F208)</f>
        <v>0</v>
      </c>
      <c r="G210" s="316">
        <f>SUM(G204:G208)</f>
        <v>0</v>
      </c>
      <c r="H210" s="286"/>
      <c r="I210" s="286"/>
      <c r="J210" s="286"/>
      <c r="K210" s="286"/>
      <c r="L210" s="286"/>
      <c r="M210" s="286"/>
      <c r="N210" s="286"/>
      <c r="O210" s="286"/>
      <c r="P210" s="286"/>
      <c r="Q210" s="312"/>
      <c r="R210" s="311"/>
      <c r="S210" s="234">
        <f>R210-F210</f>
        <v>0</v>
      </c>
      <c r="T210" s="235">
        <f>IF(F210=0,0,S210/F210)</f>
        <v>0</v>
      </c>
      <c r="U210" s="234">
        <f>R210*$C$4</f>
        <v>0</v>
      </c>
      <c r="V210" s="234">
        <f>U210-G210</f>
        <v>0</v>
      </c>
      <c r="W210" s="235">
        <f>IF(G210=0,0,V210/G210)</f>
        <v>0</v>
      </c>
      <c r="X210" s="235"/>
    </row>
    <row r="211" spans="1:28" ht="13.8" thickTop="1" x14ac:dyDescent="0.25">
      <c r="B211" s="167"/>
      <c r="F211" s="276"/>
      <c r="H211" s="239"/>
      <c r="I211" s="239"/>
      <c r="J211" s="239"/>
      <c r="K211" s="239"/>
      <c r="L211" s="239"/>
      <c r="M211" s="239"/>
      <c r="N211" s="239"/>
      <c r="O211" s="239"/>
      <c r="P211" s="239"/>
      <c r="Q211" s="250"/>
      <c r="R211" s="256"/>
      <c r="S211" s="222"/>
      <c r="T211" s="228"/>
      <c r="U211" s="222"/>
      <c r="V211" s="222"/>
      <c r="W211" s="228"/>
      <c r="X211" s="228"/>
    </row>
    <row r="212" spans="1:28" x14ac:dyDescent="0.25">
      <c r="A212" s="129">
        <v>6</v>
      </c>
      <c r="B212" s="130" t="s">
        <v>119</v>
      </c>
      <c r="C212" s="329"/>
      <c r="D212" s="328"/>
      <c r="E212" s="327"/>
      <c r="F212" s="327"/>
      <c r="G212" s="151"/>
      <c r="H212" s="238"/>
      <c r="I212" s="238"/>
      <c r="J212" s="238"/>
      <c r="K212" s="238"/>
      <c r="L212" s="238"/>
      <c r="M212" s="238"/>
      <c r="N212" s="238"/>
      <c r="O212" s="238"/>
      <c r="P212" s="238"/>
      <c r="Q212" s="251"/>
      <c r="R212" s="259"/>
      <c r="S212" s="227"/>
      <c r="T212" s="229"/>
      <c r="U212" s="227"/>
      <c r="V212" s="227"/>
      <c r="W212" s="229"/>
      <c r="X212" s="229"/>
    </row>
    <row r="213" spans="1:28" x14ac:dyDescent="0.25">
      <c r="A213" s="103" t="s">
        <v>120</v>
      </c>
      <c r="B213" s="103" t="s">
        <v>77</v>
      </c>
      <c r="C213" s="326"/>
      <c r="D213" s="325"/>
      <c r="E213" s="324"/>
      <c r="F213" s="320"/>
      <c r="G213" s="39"/>
      <c r="H213" s="239"/>
      <c r="I213" s="239"/>
      <c r="J213" s="239"/>
      <c r="K213" s="239"/>
      <c r="L213" s="239"/>
      <c r="M213" s="239"/>
      <c r="N213" s="239"/>
      <c r="O213" s="239"/>
      <c r="P213" s="239"/>
      <c r="Q213" s="250"/>
      <c r="R213" s="255"/>
      <c r="S213" s="222"/>
      <c r="T213" s="228"/>
      <c r="U213" s="222"/>
      <c r="V213" s="222"/>
      <c r="W213" s="228"/>
      <c r="X213" s="228"/>
    </row>
    <row r="214" spans="1:28" x14ac:dyDescent="0.25">
      <c r="A214" s="113" t="s">
        <v>121</v>
      </c>
      <c r="B214" s="174" t="s">
        <v>78</v>
      </c>
      <c r="C214" s="309"/>
      <c r="D214" s="308"/>
      <c r="E214" s="307"/>
      <c r="F214" s="320">
        <f>D214*E214</f>
        <v>0</v>
      </c>
      <c r="G214" s="39">
        <f>F214*C4</f>
        <v>0</v>
      </c>
      <c r="H214" s="239"/>
      <c r="I214" s="239"/>
      <c r="J214" s="239"/>
      <c r="K214" s="239"/>
      <c r="L214" s="239"/>
      <c r="M214" s="239"/>
      <c r="N214" s="239"/>
      <c r="O214" s="239"/>
      <c r="P214" s="239"/>
      <c r="Q214" s="250"/>
      <c r="R214" s="261"/>
      <c r="S214" s="222">
        <f>R214-F214</f>
        <v>0</v>
      </c>
      <c r="T214" s="228">
        <f>IF(F214=0,0,S214/F214)</f>
        <v>0</v>
      </c>
      <c r="U214" s="222">
        <f>R214*$C$4</f>
        <v>0</v>
      </c>
      <c r="V214" s="222">
        <f>U214-G214</f>
        <v>0</v>
      </c>
      <c r="W214" s="228">
        <f>IF(G214=0,0,V214/G214)</f>
        <v>0</v>
      </c>
      <c r="X214" s="228"/>
    </row>
    <row r="215" spans="1:28" x14ac:dyDescent="0.25">
      <c r="A215" s="113" t="s">
        <v>122</v>
      </c>
      <c r="B215" s="174" t="s">
        <v>79</v>
      </c>
      <c r="C215" s="309"/>
      <c r="D215" s="308"/>
      <c r="E215" s="307"/>
      <c r="F215" s="320">
        <f>D215*E215</f>
        <v>0</v>
      </c>
      <c r="G215" s="39">
        <f>F215*C4</f>
        <v>0</v>
      </c>
      <c r="H215" s="239"/>
      <c r="I215" s="239"/>
      <c r="J215" s="239"/>
      <c r="K215" s="239"/>
      <c r="L215" s="239"/>
      <c r="M215" s="239"/>
      <c r="N215" s="239"/>
      <c r="O215" s="239"/>
      <c r="P215" s="239"/>
      <c r="Q215" s="250"/>
      <c r="R215" s="261"/>
      <c r="S215" s="222">
        <f>R215-F215</f>
        <v>0</v>
      </c>
      <c r="T215" s="228">
        <f>IF(F215=0,0,S215/F215)</f>
        <v>0</v>
      </c>
      <c r="U215" s="222">
        <f>R215*$C$4</f>
        <v>0</v>
      </c>
      <c r="V215" s="222">
        <f>U215-G215</f>
        <v>0</v>
      </c>
      <c r="W215" s="228">
        <f>IF(G215=0,0,V215/G215)</f>
        <v>0</v>
      </c>
      <c r="X215" s="228"/>
    </row>
    <row r="216" spans="1:28" x14ac:dyDescent="0.25">
      <c r="A216" s="113" t="s">
        <v>123</v>
      </c>
      <c r="B216" s="174" t="s">
        <v>80</v>
      </c>
      <c r="C216" s="309"/>
      <c r="D216" s="308"/>
      <c r="E216" s="307"/>
      <c r="F216" s="320">
        <f>D216*E216</f>
        <v>0</v>
      </c>
      <c r="G216" s="39">
        <f>F216*C4</f>
        <v>0</v>
      </c>
      <c r="H216" s="239"/>
      <c r="I216" s="239"/>
      <c r="J216" s="239"/>
      <c r="K216" s="239"/>
      <c r="L216" s="239"/>
      <c r="M216" s="239"/>
      <c r="N216" s="239"/>
      <c r="O216" s="239"/>
      <c r="P216" s="239"/>
      <c r="Q216" s="250"/>
      <c r="R216" s="261"/>
      <c r="S216" s="222">
        <f>R216-F216</f>
        <v>0</v>
      </c>
      <c r="T216" s="228">
        <f>IF(F216=0,0,S216/F216)</f>
        <v>0</v>
      </c>
      <c r="U216" s="222">
        <f>R216*$C$4</f>
        <v>0</v>
      </c>
      <c r="V216" s="222">
        <f>U216-G216</f>
        <v>0</v>
      </c>
      <c r="W216" s="228">
        <f>IF(G216=0,0,V216/G216)</f>
        <v>0</v>
      </c>
      <c r="X216" s="228"/>
    </row>
    <row r="217" spans="1:28" x14ac:dyDescent="0.25">
      <c r="A217" s="113" t="s">
        <v>124</v>
      </c>
      <c r="B217" s="174" t="s">
        <v>81</v>
      </c>
      <c r="C217" s="309"/>
      <c r="D217" s="308"/>
      <c r="E217" s="307"/>
      <c r="F217" s="320">
        <f>D217*E217</f>
        <v>0</v>
      </c>
      <c r="G217" s="39">
        <f>F217*C4</f>
        <v>0</v>
      </c>
      <c r="H217" s="239"/>
      <c r="I217" s="239"/>
      <c r="J217" s="239"/>
      <c r="K217" s="239"/>
      <c r="L217" s="239"/>
      <c r="M217" s="239"/>
      <c r="N217" s="239"/>
      <c r="O217" s="239"/>
      <c r="P217" s="239"/>
      <c r="Q217" s="250"/>
      <c r="R217" s="261"/>
      <c r="S217" s="222">
        <f>R217-F217</f>
        <v>0</v>
      </c>
      <c r="T217" s="228">
        <f>IF(F217=0,0,S217/F217)</f>
        <v>0</v>
      </c>
      <c r="U217" s="222">
        <f>R217*$C$4</f>
        <v>0</v>
      </c>
      <c r="V217" s="222">
        <f>U217-G217</f>
        <v>0</v>
      </c>
      <c r="W217" s="228">
        <f>IF(G217=0,0,V217/G217)</f>
        <v>0</v>
      </c>
      <c r="X217" s="228"/>
    </row>
    <row r="218" spans="1:28" x14ac:dyDescent="0.25">
      <c r="A218" s="103"/>
      <c r="B218" s="174"/>
      <c r="C218" s="323"/>
      <c r="D218" s="322"/>
      <c r="E218" s="321"/>
      <c r="F218" s="320"/>
      <c r="G218" s="39"/>
      <c r="H218" s="239"/>
      <c r="I218" s="239"/>
      <c r="J218" s="239"/>
      <c r="K218" s="239"/>
      <c r="L218" s="239"/>
      <c r="M218" s="239"/>
      <c r="N218" s="239"/>
      <c r="O218" s="239"/>
      <c r="P218" s="239"/>
      <c r="Q218" s="250"/>
      <c r="R218" s="255"/>
      <c r="S218" s="222"/>
      <c r="T218" s="228"/>
      <c r="U218" s="222"/>
      <c r="V218" s="222"/>
      <c r="W218" s="228"/>
      <c r="X218" s="228"/>
    </row>
    <row r="219" spans="1:28" ht="13.8" thickBot="1" x14ac:dyDescent="0.3">
      <c r="A219" s="103"/>
      <c r="B219" s="150" t="s">
        <v>82</v>
      </c>
      <c r="C219" s="319"/>
      <c r="D219" s="318"/>
      <c r="E219" s="317"/>
      <c r="F219" s="316">
        <f>SUM(F214:F217)</f>
        <v>0</v>
      </c>
      <c r="G219" s="316">
        <f>SUM(G214:G217)</f>
        <v>0</v>
      </c>
      <c r="H219" s="286"/>
      <c r="I219" s="286"/>
      <c r="J219" s="286"/>
      <c r="K219" s="286"/>
      <c r="L219" s="286"/>
      <c r="M219" s="286"/>
      <c r="N219" s="286"/>
      <c r="O219" s="286"/>
      <c r="P219" s="286"/>
      <c r="Q219" s="312"/>
      <c r="R219" s="311"/>
      <c r="S219" s="234">
        <f>R219-F219</f>
        <v>0</v>
      </c>
      <c r="T219" s="235">
        <f>IF(F219=0,0,S219/F219)</f>
        <v>0</v>
      </c>
      <c r="U219" s="234">
        <f>R219*$C$4</f>
        <v>0</v>
      </c>
      <c r="V219" s="234">
        <f>U219-G219</f>
        <v>0</v>
      </c>
      <c r="W219" s="235">
        <f>IF(G219=0,0,V219/G219)</f>
        <v>0</v>
      </c>
      <c r="X219" s="235"/>
    </row>
    <row r="220" spans="1:28" ht="13.8" thickTop="1" x14ac:dyDescent="0.25">
      <c r="B220" s="178"/>
      <c r="F220" s="285"/>
      <c r="H220" s="239"/>
      <c r="I220" s="239"/>
      <c r="J220" s="239"/>
      <c r="K220" s="239"/>
      <c r="L220" s="239"/>
      <c r="M220" s="239"/>
      <c r="N220" s="239"/>
      <c r="O220" s="239"/>
      <c r="P220" s="239"/>
      <c r="Q220" s="250"/>
      <c r="R220" s="256"/>
      <c r="S220" s="222"/>
      <c r="T220" s="228"/>
      <c r="U220" s="222"/>
      <c r="V220" s="222"/>
      <c r="W220" s="228"/>
      <c r="X220" s="228"/>
    </row>
    <row r="221" spans="1:28" x14ac:dyDescent="0.25">
      <c r="A221" s="103" t="s">
        <v>125</v>
      </c>
      <c r="B221" s="103" t="s">
        <v>198</v>
      </c>
      <c r="C221" s="326"/>
      <c r="D221" s="325"/>
      <c r="E221" s="324"/>
      <c r="F221" s="320"/>
      <c r="G221" s="39"/>
      <c r="H221" s="239"/>
      <c r="I221" s="239"/>
      <c r="J221" s="239"/>
      <c r="K221" s="239"/>
      <c r="L221" s="239"/>
      <c r="M221" s="239"/>
      <c r="N221" s="239"/>
      <c r="O221" s="239"/>
      <c r="P221" s="239"/>
      <c r="Q221" s="250"/>
      <c r="R221" s="255"/>
      <c r="S221" s="222"/>
      <c r="T221" s="228"/>
      <c r="U221" s="222"/>
      <c r="V221" s="222"/>
      <c r="W221" s="228"/>
      <c r="X221" s="228"/>
    </row>
    <row r="222" spans="1:28" x14ac:dyDescent="0.25">
      <c r="A222" s="113" t="s">
        <v>126</v>
      </c>
      <c r="B222" s="174" t="s">
        <v>135</v>
      </c>
      <c r="C222" s="309"/>
      <c r="D222" s="308"/>
      <c r="E222" s="307"/>
      <c r="F222" s="320">
        <f>D222*E222</f>
        <v>0</v>
      </c>
      <c r="G222" s="39">
        <f>F222*C4</f>
        <v>0</v>
      </c>
      <c r="H222" s="239"/>
      <c r="I222" s="239"/>
      <c r="J222" s="239"/>
      <c r="K222" s="239"/>
      <c r="L222" s="239"/>
      <c r="M222" s="239"/>
      <c r="N222" s="239"/>
      <c r="O222" s="239"/>
      <c r="P222" s="239"/>
      <c r="Q222" s="250"/>
      <c r="R222" s="261"/>
      <c r="S222" s="222">
        <f>R222-F222</f>
        <v>0</v>
      </c>
      <c r="T222" s="228">
        <f>IF(F222=0,0,S222/F222)</f>
        <v>0</v>
      </c>
      <c r="U222" s="222">
        <f>R222*$C$4</f>
        <v>0</v>
      </c>
      <c r="V222" s="222">
        <f>U222-G222</f>
        <v>0</v>
      </c>
      <c r="W222" s="228">
        <f>IF(G222=0,0,V222/G222)</f>
        <v>0</v>
      </c>
      <c r="X222" s="228"/>
    </row>
    <row r="223" spans="1:28" ht="132" x14ac:dyDescent="0.25">
      <c r="A223" s="113" t="s">
        <v>127</v>
      </c>
      <c r="B223" s="174" t="s">
        <v>136</v>
      </c>
      <c r="C223" s="309"/>
      <c r="D223" s="308"/>
      <c r="E223" s="307"/>
      <c r="F223" s="320">
        <f>D223*E223</f>
        <v>0</v>
      </c>
      <c r="G223" s="39">
        <f>F223*C4</f>
        <v>0</v>
      </c>
      <c r="H223" s="239"/>
      <c r="I223" s="239"/>
      <c r="J223" s="239"/>
      <c r="K223" s="239"/>
      <c r="L223" s="239"/>
      <c r="M223" s="239"/>
      <c r="N223" s="239"/>
      <c r="O223" s="239"/>
      <c r="P223" s="239"/>
      <c r="Q223" s="250"/>
      <c r="R223" s="261"/>
      <c r="S223" s="222">
        <f>R223-F223</f>
        <v>0</v>
      </c>
      <c r="T223" s="228">
        <f>IF(F223=0,0,S223/F223)</f>
        <v>0</v>
      </c>
      <c r="U223" s="222">
        <f>R223*$C$4</f>
        <v>0</v>
      </c>
      <c r="V223" s="222">
        <f>U223-G223</f>
        <v>0</v>
      </c>
      <c r="W223" s="228">
        <f>IF(G223=0,0,V223/G223)</f>
        <v>0</v>
      </c>
      <c r="X223" s="228"/>
      <c r="Y223" s="818" t="s">
        <v>918</v>
      </c>
      <c r="AA223" s="113"/>
      <c r="AB223" s="174"/>
    </row>
    <row r="224" spans="1:28" x14ac:dyDescent="0.25">
      <c r="A224" s="113" t="s">
        <v>128</v>
      </c>
      <c r="B224" s="174" t="s">
        <v>134</v>
      </c>
      <c r="C224" s="309"/>
      <c r="D224" s="308"/>
      <c r="E224" s="307"/>
      <c r="F224" s="320">
        <f>D224*E224</f>
        <v>0</v>
      </c>
      <c r="G224" s="39">
        <f>F224*C4</f>
        <v>0</v>
      </c>
      <c r="H224" s="239"/>
      <c r="I224" s="239"/>
      <c r="J224" s="239"/>
      <c r="K224" s="239"/>
      <c r="L224" s="239"/>
      <c r="M224" s="239"/>
      <c r="N224" s="239"/>
      <c r="O224" s="239"/>
      <c r="P224" s="239"/>
      <c r="Q224" s="250"/>
      <c r="R224" s="261"/>
      <c r="S224" s="222">
        <f>R224-F224</f>
        <v>0</v>
      </c>
      <c r="T224" s="228">
        <f>IF(F224=0,0,S224/F224)</f>
        <v>0</v>
      </c>
      <c r="U224" s="222">
        <f>R224*$C$4</f>
        <v>0</v>
      </c>
      <c r="V224" s="222">
        <f>U224-G224</f>
        <v>0</v>
      </c>
      <c r="W224" s="228">
        <f>IF(G224=0,0,V224/G224)</f>
        <v>0</v>
      </c>
      <c r="X224" s="228"/>
      <c r="AA224" s="113"/>
      <c r="AB224" s="174"/>
    </row>
    <row r="225" spans="1:28" ht="39.6" x14ac:dyDescent="0.25">
      <c r="A225" s="113" t="s">
        <v>322</v>
      </c>
      <c r="B225" s="174" t="s">
        <v>321</v>
      </c>
      <c r="C225" s="817" t="s">
        <v>816</v>
      </c>
      <c r="D225" s="308">
        <v>1</v>
      </c>
      <c r="E225" s="307">
        <v>950</v>
      </c>
      <c r="F225" s="320">
        <f>D225*E225</f>
        <v>950</v>
      </c>
      <c r="G225" s="204">
        <f>F225*C4</f>
        <v>1339.5</v>
      </c>
      <c r="H225" s="239"/>
      <c r="I225" s="239"/>
      <c r="J225" s="239"/>
      <c r="K225" s="239"/>
      <c r="L225" s="239"/>
      <c r="M225" s="239"/>
      <c r="N225" s="239"/>
      <c r="O225" s="239"/>
      <c r="P225" s="239"/>
      <c r="Q225" s="250"/>
      <c r="R225" s="261"/>
      <c r="S225" s="222"/>
      <c r="T225" s="228"/>
      <c r="U225" s="222"/>
      <c r="V225" s="222"/>
      <c r="W225" s="228"/>
      <c r="X225" s="228"/>
      <c r="Y225" s="818" t="s">
        <v>916</v>
      </c>
      <c r="AA225" s="113"/>
      <c r="AB225" s="174"/>
    </row>
    <row r="226" spans="1:28" ht="66" x14ac:dyDescent="0.25">
      <c r="A226" s="113" t="s">
        <v>319</v>
      </c>
      <c r="B226" s="174" t="s">
        <v>137</v>
      </c>
      <c r="C226" s="310" t="s">
        <v>318</v>
      </c>
      <c r="D226" s="308">
        <v>2</v>
      </c>
      <c r="E226" s="307">
        <v>1700</v>
      </c>
      <c r="F226" s="320">
        <f>D226*E226</f>
        <v>3400</v>
      </c>
      <c r="G226" s="39">
        <f>F226*C4</f>
        <v>4794</v>
      </c>
      <c r="H226" s="239"/>
      <c r="I226" s="239"/>
      <c r="J226" s="239"/>
      <c r="K226" s="239"/>
      <c r="L226" s="239"/>
      <c r="M226" s="239"/>
      <c r="N226" s="239"/>
      <c r="O226" s="239"/>
      <c r="P226" s="239"/>
      <c r="Q226" s="250"/>
      <c r="R226" s="261"/>
      <c r="S226" s="222">
        <f>R226-F226</f>
        <v>-3400</v>
      </c>
      <c r="T226" s="228">
        <f>IF(F226=0,0,S226/F226)</f>
        <v>-1</v>
      </c>
      <c r="U226" s="222">
        <f>R226*$C$4</f>
        <v>0</v>
      </c>
      <c r="V226" s="222">
        <f>U226-G226</f>
        <v>-4794</v>
      </c>
      <c r="W226" s="228">
        <f>IF(G226=0,0,V226/G226)</f>
        <v>-1</v>
      </c>
      <c r="X226" s="228"/>
      <c r="Y226" s="818" t="s">
        <v>917</v>
      </c>
      <c r="AA226" s="113"/>
      <c r="AB226" s="174"/>
    </row>
    <row r="227" spans="1:28" ht="13.8" thickBot="1" x14ac:dyDescent="0.3">
      <c r="A227" s="103"/>
      <c r="B227" s="150" t="s">
        <v>199</v>
      </c>
      <c r="C227" s="319"/>
      <c r="D227" s="318"/>
      <c r="E227" s="317"/>
      <c r="F227" s="316">
        <f>SUM(F222:F226)</f>
        <v>4350</v>
      </c>
      <c r="G227" s="316">
        <f>SUM(G222:G226)</f>
        <v>6133.5</v>
      </c>
      <c r="H227" s="286"/>
      <c r="I227" s="286"/>
      <c r="J227" s="286"/>
      <c r="K227" s="286"/>
      <c r="L227" s="286"/>
      <c r="M227" s="286"/>
      <c r="N227" s="286"/>
      <c r="O227" s="286"/>
      <c r="P227" s="286"/>
      <c r="Q227" s="312"/>
      <c r="R227" s="311"/>
      <c r="S227" s="234">
        <f>R227-F227</f>
        <v>-4350</v>
      </c>
      <c r="T227" s="235">
        <f>IF(F227=0,0,S227/F227)</f>
        <v>-1</v>
      </c>
      <c r="U227" s="234">
        <f>R227*$C$4</f>
        <v>0</v>
      </c>
      <c r="V227" s="234">
        <f>U227-G227</f>
        <v>-6133.5</v>
      </c>
      <c r="W227" s="235">
        <f>IF(G227=0,0,V227/G227)</f>
        <v>-1</v>
      </c>
      <c r="X227" s="235"/>
    </row>
    <row r="228" spans="1:28" ht="13.8" thickTop="1" x14ac:dyDescent="0.25">
      <c r="B228" s="178"/>
      <c r="F228" s="285"/>
      <c r="H228" s="239"/>
      <c r="I228" s="239"/>
      <c r="J228" s="239"/>
      <c r="K228" s="239"/>
      <c r="L228" s="239"/>
      <c r="M228" s="239"/>
      <c r="N228" s="239"/>
      <c r="O228" s="239"/>
      <c r="P228" s="239"/>
      <c r="Q228" s="250"/>
      <c r="R228" s="256"/>
      <c r="S228" s="222"/>
      <c r="T228" s="228"/>
      <c r="U228" s="222"/>
      <c r="V228" s="222"/>
      <c r="W228" s="228"/>
      <c r="X228" s="228"/>
    </row>
    <row r="229" spans="1:28" x14ac:dyDescent="0.25">
      <c r="A229" s="103" t="s">
        <v>163</v>
      </c>
      <c r="B229" s="103" t="s">
        <v>162</v>
      </c>
      <c r="C229" s="326"/>
      <c r="D229" s="325"/>
      <c r="E229" s="324"/>
      <c r="F229" s="320"/>
      <c r="G229" s="39"/>
      <c r="H229" s="239"/>
      <c r="I229" s="239"/>
      <c r="J229" s="239"/>
      <c r="K229" s="239"/>
      <c r="L229" s="239"/>
      <c r="M229" s="239"/>
      <c r="N229" s="239"/>
      <c r="O229" s="239"/>
      <c r="P229" s="239"/>
      <c r="Q229" s="250"/>
      <c r="R229" s="255"/>
      <c r="S229" s="222"/>
      <c r="T229" s="228"/>
      <c r="U229" s="222"/>
      <c r="V229" s="222"/>
      <c r="W229" s="228"/>
      <c r="X229" s="228"/>
    </row>
    <row r="230" spans="1:28" x14ac:dyDescent="0.25">
      <c r="A230" s="113" t="s">
        <v>168</v>
      </c>
      <c r="B230" s="174" t="s">
        <v>307</v>
      </c>
      <c r="C230" s="309"/>
      <c r="D230" s="308"/>
      <c r="E230" s="307"/>
      <c r="F230" s="320">
        <f>D230*E230</f>
        <v>0</v>
      </c>
      <c r="G230" s="39">
        <f>F230*C4</f>
        <v>0</v>
      </c>
      <c r="H230" s="239"/>
      <c r="I230" s="239"/>
      <c r="J230" s="239"/>
      <c r="K230" s="239"/>
      <c r="L230" s="239"/>
      <c r="M230" s="239"/>
      <c r="N230" s="239"/>
      <c r="O230" s="239"/>
      <c r="P230" s="239"/>
      <c r="Q230" s="250"/>
      <c r="R230" s="261"/>
      <c r="S230" s="222">
        <f>R230-F230</f>
        <v>0</v>
      </c>
      <c r="T230" s="228">
        <f>IF(F230=0,0,S230/F230)</f>
        <v>0</v>
      </c>
      <c r="U230" s="222">
        <f>R230*$C$4</f>
        <v>0</v>
      </c>
      <c r="V230" s="222">
        <f>U230-G230</f>
        <v>0</v>
      </c>
      <c r="W230" s="228">
        <f>IF(G230=0,0,V230/G230)</f>
        <v>0</v>
      </c>
      <c r="X230" s="228"/>
    </row>
    <row r="231" spans="1:28" x14ac:dyDescent="0.25">
      <c r="A231" s="113" t="s">
        <v>169</v>
      </c>
      <c r="B231" s="174" t="s">
        <v>165</v>
      </c>
      <c r="C231" s="309"/>
      <c r="D231" s="308"/>
      <c r="E231" s="307"/>
      <c r="F231" s="320">
        <f>D231*E231</f>
        <v>0</v>
      </c>
      <c r="G231" s="39">
        <f>F231*C4</f>
        <v>0</v>
      </c>
      <c r="H231" s="239"/>
      <c r="I231" s="239"/>
      <c r="J231" s="239"/>
      <c r="K231" s="239"/>
      <c r="L231" s="239"/>
      <c r="M231" s="239"/>
      <c r="N231" s="239"/>
      <c r="O231" s="239"/>
      <c r="P231" s="239"/>
      <c r="Q231" s="250"/>
      <c r="R231" s="261"/>
      <c r="S231" s="222">
        <f>R231-F231</f>
        <v>0</v>
      </c>
      <c r="T231" s="228">
        <f>IF(F231=0,0,S231/F231)</f>
        <v>0</v>
      </c>
      <c r="U231" s="222">
        <f>R231*$C$4</f>
        <v>0</v>
      </c>
      <c r="V231" s="222">
        <f>U231-G231</f>
        <v>0</v>
      </c>
      <c r="W231" s="228">
        <f>IF(G231=0,0,V231/G231)</f>
        <v>0</v>
      </c>
      <c r="X231" s="228"/>
    </row>
    <row r="232" spans="1:28" x14ac:dyDescent="0.25">
      <c r="A232" s="113" t="s">
        <v>170</v>
      </c>
      <c r="B232" s="174" t="s">
        <v>166</v>
      </c>
      <c r="C232" s="309"/>
      <c r="D232" s="308"/>
      <c r="E232" s="307"/>
      <c r="F232" s="320">
        <f>D232*E232</f>
        <v>0</v>
      </c>
      <c r="G232" s="39">
        <f>F232*C4</f>
        <v>0</v>
      </c>
      <c r="H232" s="239"/>
      <c r="I232" s="239"/>
      <c r="J232" s="239"/>
      <c r="K232" s="239"/>
      <c r="L232" s="239"/>
      <c r="M232" s="239"/>
      <c r="N232" s="239"/>
      <c r="O232" s="239"/>
      <c r="P232" s="239"/>
      <c r="Q232" s="250"/>
      <c r="R232" s="261"/>
      <c r="S232" s="222">
        <f>R232-F232</f>
        <v>0</v>
      </c>
      <c r="T232" s="228">
        <f>IF(F232=0,0,S232/F232)</f>
        <v>0</v>
      </c>
      <c r="U232" s="222">
        <f>R232*$C$4</f>
        <v>0</v>
      </c>
      <c r="V232" s="222">
        <f>U232-G232</f>
        <v>0</v>
      </c>
      <c r="W232" s="228">
        <f>IF(G232=0,0,V232/G232)</f>
        <v>0</v>
      </c>
      <c r="X232" s="228"/>
    </row>
    <row r="233" spans="1:28" x14ac:dyDescent="0.25">
      <c r="A233" s="103"/>
      <c r="B233" s="174"/>
      <c r="C233" s="323"/>
      <c r="D233" s="322"/>
      <c r="E233" s="321"/>
      <c r="F233" s="320"/>
      <c r="G233" s="39"/>
      <c r="H233" s="239"/>
      <c r="I233" s="239"/>
      <c r="J233" s="239"/>
      <c r="K233" s="239"/>
      <c r="L233" s="239"/>
      <c r="M233" s="239"/>
      <c r="N233" s="239"/>
      <c r="O233" s="239"/>
      <c r="P233" s="239"/>
      <c r="Q233" s="250"/>
      <c r="R233" s="255"/>
      <c r="S233" s="234"/>
      <c r="T233" s="235"/>
      <c r="U233" s="234"/>
      <c r="V233" s="234"/>
      <c r="W233" s="235"/>
      <c r="X233" s="235"/>
    </row>
    <row r="234" spans="1:28" ht="13.8" thickBot="1" x14ac:dyDescent="0.3">
      <c r="A234" s="103"/>
      <c r="B234" s="150" t="s">
        <v>167</v>
      </c>
      <c r="C234" s="319"/>
      <c r="D234" s="318"/>
      <c r="E234" s="317"/>
      <c r="F234" s="316">
        <f>SUM(F230:F232)</f>
        <v>0</v>
      </c>
      <c r="G234" s="316">
        <f>SUM(G230:G232)</f>
        <v>0</v>
      </c>
      <c r="H234" s="286"/>
      <c r="I234" s="286"/>
      <c r="J234" s="286"/>
      <c r="K234" s="286"/>
      <c r="L234" s="286"/>
      <c r="M234" s="286"/>
      <c r="N234" s="286"/>
      <c r="O234" s="286"/>
      <c r="P234" s="286"/>
      <c r="Q234" s="312"/>
      <c r="R234" s="311"/>
      <c r="S234" s="234">
        <f>R234-F234</f>
        <v>0</v>
      </c>
      <c r="T234" s="235">
        <f>IF(F234=0,0,S234/F234)</f>
        <v>0</v>
      </c>
      <c r="U234" s="234">
        <f>R234*$C$4</f>
        <v>0</v>
      </c>
      <c r="V234" s="234">
        <f>U234-G234</f>
        <v>0</v>
      </c>
      <c r="W234" s="235">
        <f>IF(G234=0,0,V234/G234)</f>
        <v>0</v>
      </c>
      <c r="X234" s="235"/>
    </row>
    <row r="235" spans="1:28" ht="13.8" thickTop="1" x14ac:dyDescent="0.25">
      <c r="A235" s="103"/>
      <c r="B235" s="150"/>
      <c r="C235" s="294"/>
      <c r="D235" s="293"/>
      <c r="E235" s="292"/>
      <c r="F235" s="315"/>
      <c r="G235" s="315"/>
      <c r="H235" s="286"/>
      <c r="I235" s="286"/>
      <c r="J235" s="286"/>
      <c r="K235" s="286"/>
      <c r="L235" s="286"/>
      <c r="M235" s="286"/>
      <c r="N235" s="286"/>
      <c r="O235" s="286"/>
      <c r="P235" s="286"/>
      <c r="Q235" s="312"/>
      <c r="R235" s="314"/>
      <c r="S235" s="222"/>
      <c r="T235" s="228"/>
      <c r="U235" s="222"/>
      <c r="V235" s="222"/>
      <c r="W235" s="228"/>
      <c r="X235" s="228"/>
    </row>
    <row r="236" spans="1:28" ht="13.8" thickBot="1" x14ac:dyDescent="0.3">
      <c r="A236" s="180"/>
      <c r="B236" s="181" t="s">
        <v>53</v>
      </c>
      <c r="C236" s="303"/>
      <c r="D236" s="302"/>
      <c r="E236" s="301"/>
      <c r="F236" s="313">
        <f>SUM(F93+F171+F182+F201+F210+F219+F227+F234)</f>
        <v>648870</v>
      </c>
      <c r="G236" s="313">
        <f>SUM(G93+G171+G182+G201+G210+G219+G227+G234)</f>
        <v>914906.70000000007</v>
      </c>
      <c r="H236" s="286"/>
      <c r="I236" s="286"/>
      <c r="J236" s="286"/>
      <c r="K236" s="286"/>
      <c r="L236" s="286"/>
      <c r="M236" s="286"/>
      <c r="N236" s="286"/>
      <c r="O236" s="286"/>
      <c r="P236" s="286"/>
      <c r="Q236" s="312"/>
      <c r="R236" s="311"/>
      <c r="S236" s="296">
        <f>R236-F236</f>
        <v>-648870</v>
      </c>
      <c r="T236" s="295">
        <f>IF(F236=0,0,S236/F236)</f>
        <v>-1</v>
      </c>
      <c r="U236" s="296">
        <f>R236*$C$4</f>
        <v>0</v>
      </c>
      <c r="V236" s="296">
        <f>U236-G236</f>
        <v>-914906.70000000007</v>
      </c>
      <c r="W236" s="295">
        <f>IF(G236=0,0,V236/G236)</f>
        <v>-1</v>
      </c>
      <c r="X236" s="295"/>
    </row>
    <row r="237" spans="1:28" ht="13.8" thickTop="1" x14ac:dyDescent="0.25">
      <c r="B237" s="91"/>
      <c r="F237" s="276"/>
      <c r="H237" s="239"/>
      <c r="I237" s="239"/>
      <c r="J237" s="239"/>
      <c r="K237" s="239"/>
      <c r="L237" s="239"/>
      <c r="M237" s="239"/>
      <c r="N237" s="239"/>
      <c r="O237" s="239"/>
      <c r="P237" s="239"/>
      <c r="Q237" s="250"/>
      <c r="R237" s="256"/>
      <c r="S237" s="222"/>
      <c r="T237" s="228"/>
      <c r="U237" s="222"/>
      <c r="V237" s="222"/>
      <c r="W237" s="228"/>
      <c r="X237" s="228"/>
    </row>
    <row r="238" spans="1:28" x14ac:dyDescent="0.25">
      <c r="A238" s="74" t="s">
        <v>61</v>
      </c>
      <c r="F238" s="276"/>
      <c r="H238" s="239"/>
      <c r="I238" s="239"/>
      <c r="J238" s="239"/>
      <c r="K238" s="239"/>
      <c r="L238" s="239"/>
      <c r="M238" s="239"/>
      <c r="N238" s="239"/>
      <c r="O238" s="239"/>
      <c r="P238" s="239"/>
      <c r="Q238" s="250"/>
      <c r="R238" s="256"/>
      <c r="S238" s="222"/>
      <c r="T238" s="228"/>
      <c r="U238" s="222"/>
      <c r="V238" s="222"/>
      <c r="W238" s="228"/>
      <c r="X238" s="228"/>
    </row>
    <row r="239" spans="1:28" x14ac:dyDescent="0.25">
      <c r="A239" s="74" t="s">
        <v>18</v>
      </c>
      <c r="B239" s="185" t="s">
        <v>9</v>
      </c>
      <c r="F239" s="276"/>
      <c r="H239" s="239"/>
      <c r="I239" s="239"/>
      <c r="J239" s="239"/>
      <c r="K239" s="239"/>
      <c r="L239" s="239"/>
      <c r="M239" s="239"/>
      <c r="N239" s="239"/>
      <c r="O239" s="239"/>
      <c r="P239" s="239"/>
      <c r="Q239" s="250"/>
      <c r="R239" s="256"/>
      <c r="S239" s="222"/>
      <c r="T239" s="228"/>
      <c r="U239" s="222"/>
      <c r="V239" s="222"/>
      <c r="W239" s="228"/>
      <c r="X239" s="228"/>
    </row>
    <row r="240" spans="1:28" x14ac:dyDescent="0.25">
      <c r="B240" s="141" t="s">
        <v>317</v>
      </c>
      <c r="C240" s="310" t="s">
        <v>314</v>
      </c>
      <c r="D240" s="308">
        <v>12</v>
      </c>
      <c r="E240" s="307">
        <v>1500</v>
      </c>
      <c r="F240" s="276">
        <f>D240*E240</f>
        <v>18000</v>
      </c>
      <c r="G240" s="35">
        <f>F240*C4</f>
        <v>25380</v>
      </c>
      <c r="H240" s="239"/>
      <c r="I240" s="239"/>
      <c r="J240" s="239"/>
      <c r="K240" s="239"/>
      <c r="L240" s="239"/>
      <c r="M240" s="239"/>
      <c r="N240" s="239"/>
      <c r="O240" s="239"/>
      <c r="P240" s="239"/>
      <c r="Q240" s="250"/>
      <c r="R240" s="261"/>
      <c r="S240" s="222">
        <f>R240-F240</f>
        <v>-18000</v>
      </c>
      <c r="T240" s="228">
        <f>IF(F240=0,0,S240/F240)</f>
        <v>-1</v>
      </c>
      <c r="U240" s="222">
        <f>R240*$C$4</f>
        <v>0</v>
      </c>
      <c r="V240" s="222">
        <f>U240-G240</f>
        <v>-25380</v>
      </c>
      <c r="W240" s="228">
        <f>IF(G240=0,0,V240/G240)</f>
        <v>-1</v>
      </c>
      <c r="X240" s="228"/>
    </row>
    <row r="241" spans="1:25" x14ac:dyDescent="0.25">
      <c r="B241" s="141" t="s">
        <v>316</v>
      </c>
      <c r="C241" s="310" t="s">
        <v>314</v>
      </c>
      <c r="D241" s="308">
        <v>12</v>
      </c>
      <c r="E241" s="307">
        <v>1200</v>
      </c>
      <c r="F241" s="276">
        <f>D241*E241</f>
        <v>14400</v>
      </c>
      <c r="G241" s="35">
        <f>F241*C4</f>
        <v>20304</v>
      </c>
      <c r="H241" s="239"/>
      <c r="I241" s="239"/>
      <c r="J241" s="239"/>
      <c r="K241" s="239"/>
      <c r="L241" s="239"/>
      <c r="M241" s="239"/>
      <c r="N241" s="239"/>
      <c r="O241" s="239"/>
      <c r="P241" s="239"/>
      <c r="Q241" s="250"/>
      <c r="R241" s="261"/>
      <c r="S241" s="222">
        <f>R241-F241</f>
        <v>-14400</v>
      </c>
      <c r="T241" s="228">
        <f>IF(F241=0,0,S241/F241)</f>
        <v>-1</v>
      </c>
      <c r="U241" s="222">
        <f>R241*$C$4</f>
        <v>0</v>
      </c>
      <c r="V241" s="222">
        <f>U241-G241</f>
        <v>-20304</v>
      </c>
      <c r="W241" s="228">
        <f>IF(G241=0,0,V241/G241)</f>
        <v>-1</v>
      </c>
      <c r="X241" s="228"/>
    </row>
    <row r="242" spans="1:25" x14ac:dyDescent="0.25">
      <c r="B242" s="153" t="s">
        <v>315</v>
      </c>
      <c r="C242" s="310" t="s">
        <v>314</v>
      </c>
      <c r="D242" s="308">
        <v>12</v>
      </c>
      <c r="E242" s="307">
        <v>950</v>
      </c>
      <c r="F242" s="276">
        <f>D242*E242</f>
        <v>11400</v>
      </c>
      <c r="G242" s="35">
        <f>F242*C4</f>
        <v>16073.999999999998</v>
      </c>
      <c r="H242" s="239"/>
      <c r="I242" s="239"/>
      <c r="J242" s="239"/>
      <c r="K242" s="239"/>
      <c r="L242" s="239"/>
      <c r="M242" s="239"/>
      <c r="N242" s="239"/>
      <c r="O242" s="239"/>
      <c r="P242" s="239"/>
      <c r="Q242" s="250"/>
      <c r="R242" s="261"/>
      <c r="S242" s="222">
        <f>R242-F242</f>
        <v>-11400</v>
      </c>
      <c r="T242" s="228">
        <f>IF(F242=0,0,S242/F242)</f>
        <v>-1</v>
      </c>
      <c r="U242" s="222">
        <f>R242*$C$4</f>
        <v>0</v>
      </c>
      <c r="V242" s="222">
        <f>U242-G242</f>
        <v>-16073.999999999998</v>
      </c>
      <c r="W242" s="228">
        <f>IF(G242=0,0,V242/G242)</f>
        <v>-1</v>
      </c>
      <c r="X242" s="228"/>
    </row>
    <row r="243" spans="1:25" x14ac:dyDescent="0.25">
      <c r="B243" s="153" t="s">
        <v>63</v>
      </c>
      <c r="C243" s="310" t="s">
        <v>314</v>
      </c>
      <c r="D243" s="308">
        <v>12</v>
      </c>
      <c r="E243" s="307">
        <v>2000</v>
      </c>
      <c r="F243" s="276">
        <f>D243*E243</f>
        <v>24000</v>
      </c>
      <c r="G243" s="35">
        <f>F243*C4</f>
        <v>33840</v>
      </c>
      <c r="H243" s="239"/>
      <c r="I243" s="239"/>
      <c r="J243" s="239"/>
      <c r="K243" s="239"/>
      <c r="L243" s="239"/>
      <c r="M243" s="239"/>
      <c r="N243" s="239"/>
      <c r="O243" s="239"/>
      <c r="P243" s="239"/>
      <c r="Q243" s="250"/>
      <c r="R243" s="261"/>
      <c r="S243" s="222"/>
      <c r="T243" s="228"/>
      <c r="U243" s="222"/>
      <c r="V243" s="222"/>
      <c r="W243" s="228"/>
      <c r="X243" s="228"/>
    </row>
    <row r="244" spans="1:25" x14ac:dyDescent="0.25">
      <c r="B244" s="186" t="s">
        <v>39</v>
      </c>
      <c r="C244" s="306"/>
      <c r="D244" s="305"/>
      <c r="E244" s="304"/>
      <c r="F244" s="276"/>
      <c r="H244" s="239"/>
      <c r="I244" s="239"/>
      <c r="J244" s="239"/>
      <c r="K244" s="239"/>
      <c r="L244" s="239"/>
      <c r="M244" s="239"/>
      <c r="N244" s="239"/>
      <c r="O244" s="239"/>
      <c r="P244" s="239"/>
      <c r="Q244" s="250"/>
      <c r="R244" s="256"/>
      <c r="S244" s="222"/>
      <c r="T244" s="228"/>
      <c r="U244" s="222"/>
      <c r="V244" s="222"/>
      <c r="W244" s="228"/>
      <c r="X244" s="228"/>
    </row>
    <row r="245" spans="1:25" x14ac:dyDescent="0.25">
      <c r="B245" s="141" t="s">
        <v>40</v>
      </c>
      <c r="C245" s="310" t="s">
        <v>314</v>
      </c>
      <c r="D245" s="308">
        <v>12</v>
      </c>
      <c r="E245" s="307">
        <v>550</v>
      </c>
      <c r="F245" s="276">
        <f>D245*E245</f>
        <v>6600</v>
      </c>
      <c r="G245" s="35">
        <f>F245*C4</f>
        <v>9306</v>
      </c>
      <c r="H245" s="239"/>
      <c r="I245" s="239"/>
      <c r="J245" s="239"/>
      <c r="K245" s="239"/>
      <c r="L245" s="239"/>
      <c r="M245" s="239"/>
      <c r="N245" s="239"/>
      <c r="O245" s="239"/>
      <c r="P245" s="239"/>
      <c r="Q245" s="250"/>
      <c r="R245" s="261"/>
      <c r="S245" s="222">
        <f>R245-F245</f>
        <v>-6600</v>
      </c>
      <c r="T245" s="228">
        <f>IF(F245=0,0,S245/F245)</f>
        <v>-1</v>
      </c>
      <c r="U245" s="222">
        <f>R245*$C$4</f>
        <v>0</v>
      </c>
      <c r="V245" s="222">
        <f>U245-G245</f>
        <v>-9306</v>
      </c>
      <c r="W245" s="228">
        <f>IF(G245=0,0,V245/G245)</f>
        <v>-1</v>
      </c>
      <c r="X245" s="228"/>
    </row>
    <row r="246" spans="1:25" x14ac:dyDescent="0.25">
      <c r="B246" s="141" t="s">
        <v>41</v>
      </c>
      <c r="C246" s="310" t="s">
        <v>314</v>
      </c>
      <c r="D246" s="308">
        <v>12</v>
      </c>
      <c r="E246" s="307">
        <v>300</v>
      </c>
      <c r="F246" s="276">
        <f>D246*E246</f>
        <v>3600</v>
      </c>
      <c r="G246" s="35">
        <f>F246*C4</f>
        <v>5076</v>
      </c>
      <c r="H246" s="239"/>
      <c r="I246" s="239"/>
      <c r="J246" s="239"/>
      <c r="K246" s="239"/>
      <c r="L246" s="239"/>
      <c r="M246" s="239"/>
      <c r="N246" s="239"/>
      <c r="O246" s="239"/>
      <c r="P246" s="239"/>
      <c r="Q246" s="250"/>
      <c r="R246" s="261"/>
      <c r="S246" s="222">
        <f>R246-F246</f>
        <v>-3600</v>
      </c>
      <c r="T246" s="228">
        <f>IF(F246=0,0,S246/F246)</f>
        <v>-1</v>
      </c>
      <c r="U246" s="222">
        <f>R246*$C$4</f>
        <v>0</v>
      </c>
      <c r="V246" s="222">
        <f>U246-G246</f>
        <v>-5076</v>
      </c>
      <c r="W246" s="228">
        <f>IF(G246=0,0,V246/G246)</f>
        <v>-1</v>
      </c>
      <c r="X246" s="228"/>
    </row>
    <row r="247" spans="1:25" x14ac:dyDescent="0.25">
      <c r="B247" s="141" t="s">
        <v>42</v>
      </c>
      <c r="C247" s="310" t="s">
        <v>314</v>
      </c>
      <c r="D247" s="308">
        <v>12</v>
      </c>
      <c r="E247" s="307">
        <v>400</v>
      </c>
      <c r="F247" s="276">
        <f>D247*E247</f>
        <v>4800</v>
      </c>
      <c r="G247" s="35">
        <f>F247*C4</f>
        <v>6768</v>
      </c>
      <c r="H247" s="239"/>
      <c r="I247" s="239"/>
      <c r="J247" s="239"/>
      <c r="K247" s="239"/>
      <c r="L247" s="239"/>
      <c r="M247" s="239"/>
      <c r="N247" s="239"/>
      <c r="O247" s="239"/>
      <c r="P247" s="239"/>
      <c r="Q247" s="250"/>
      <c r="R247" s="261"/>
      <c r="S247" s="222">
        <f>R247-F247</f>
        <v>-4800</v>
      </c>
      <c r="T247" s="228">
        <f>IF(F247=0,0,S247/F247)</f>
        <v>-1</v>
      </c>
      <c r="U247" s="222">
        <f>R247*$C$4</f>
        <v>0</v>
      </c>
      <c r="V247" s="222">
        <f>U247-G247</f>
        <v>-6768</v>
      </c>
      <c r="W247" s="228">
        <f>IF(G247=0,0,V247/G247)</f>
        <v>-1</v>
      </c>
      <c r="X247" s="228"/>
    </row>
    <row r="248" spans="1:25" x14ac:dyDescent="0.25">
      <c r="B248" s="186" t="s">
        <v>43</v>
      </c>
      <c r="C248" s="306"/>
      <c r="D248" s="305"/>
      <c r="E248" s="304"/>
      <c r="F248" s="276"/>
      <c r="H248" s="239"/>
      <c r="I248" s="239"/>
      <c r="J248" s="239"/>
      <c r="K248" s="239"/>
      <c r="L248" s="239"/>
      <c r="M248" s="239"/>
      <c r="N248" s="239"/>
      <c r="O248" s="239"/>
      <c r="P248" s="239"/>
      <c r="Q248" s="250"/>
      <c r="R248" s="256"/>
      <c r="S248" s="222"/>
      <c r="T248" s="228"/>
      <c r="U248" s="222"/>
      <c r="V248" s="222"/>
      <c r="W248" s="228"/>
      <c r="X248" s="228"/>
    </row>
    <row r="249" spans="1:25" x14ac:dyDescent="0.25">
      <c r="B249" s="141" t="s">
        <v>44</v>
      </c>
      <c r="C249" s="310" t="s">
        <v>314</v>
      </c>
      <c r="D249" s="308">
        <v>12</v>
      </c>
      <c r="E249" s="307">
        <v>250</v>
      </c>
      <c r="F249" s="276">
        <f>D249*E249</f>
        <v>3000</v>
      </c>
      <c r="G249" s="35">
        <f>F249*C4</f>
        <v>4230</v>
      </c>
      <c r="H249" s="239"/>
      <c r="I249" s="239"/>
      <c r="J249" s="239"/>
      <c r="K249" s="239"/>
      <c r="L249" s="239"/>
      <c r="M249" s="239"/>
      <c r="N249" s="239"/>
      <c r="O249" s="239"/>
      <c r="P249" s="239"/>
      <c r="Q249" s="250"/>
      <c r="R249" s="261"/>
      <c r="S249" s="222">
        <f>R249-F249</f>
        <v>-3000</v>
      </c>
      <c r="T249" s="228">
        <f>IF(F249=0,0,S249/F249)</f>
        <v>-1</v>
      </c>
      <c r="U249" s="222">
        <f>R249*$C$4</f>
        <v>0</v>
      </c>
      <c r="V249" s="222">
        <f>U249-G249</f>
        <v>-4230</v>
      </c>
      <c r="W249" s="228">
        <f>IF(G249=0,0,V249/G249)</f>
        <v>-1</v>
      </c>
      <c r="X249" s="228"/>
    </row>
    <row r="250" spans="1:25" x14ac:dyDescent="0.25">
      <c r="B250" s="186" t="s">
        <v>45</v>
      </c>
      <c r="C250" s="5"/>
      <c r="D250" s="5"/>
      <c r="E250" s="5"/>
      <c r="F250" s="172"/>
      <c r="H250" s="239"/>
      <c r="I250" s="239"/>
      <c r="J250" s="239"/>
      <c r="K250" s="239"/>
      <c r="L250" s="239"/>
      <c r="M250" s="239"/>
      <c r="N250" s="239"/>
      <c r="O250" s="239"/>
      <c r="P250" s="239"/>
      <c r="Q250" s="250"/>
      <c r="R250" s="256"/>
      <c r="S250" s="222"/>
      <c r="T250" s="228"/>
      <c r="U250" s="222"/>
      <c r="V250" s="222"/>
      <c r="W250" s="228"/>
      <c r="X250" s="228"/>
    </row>
    <row r="251" spans="1:25" x14ac:dyDescent="0.25">
      <c r="B251" s="141" t="s">
        <v>897</v>
      </c>
      <c r="C251" s="310" t="s">
        <v>314</v>
      </c>
      <c r="D251" s="308">
        <v>12</v>
      </c>
      <c r="E251" s="307">
        <v>850</v>
      </c>
      <c r="F251" s="276">
        <f>D251*E251</f>
        <v>10200</v>
      </c>
      <c r="G251" s="35">
        <f>F251*C4</f>
        <v>14382</v>
      </c>
      <c r="H251" s="239"/>
      <c r="I251" s="239"/>
      <c r="J251" s="239"/>
      <c r="K251" s="239"/>
      <c r="L251" s="239"/>
      <c r="M251" s="239"/>
      <c r="N251" s="239"/>
      <c r="O251" s="239"/>
      <c r="P251" s="239"/>
      <c r="Q251" s="250"/>
      <c r="R251" s="261"/>
      <c r="S251" s="222">
        <f>R251-F251</f>
        <v>-10200</v>
      </c>
      <c r="T251" s="228">
        <f>IF(F251=0,0,S251/F251)</f>
        <v>-1</v>
      </c>
      <c r="U251" s="222">
        <f>R251*$C$4</f>
        <v>0</v>
      </c>
      <c r="V251" s="222">
        <f>U251-G251</f>
        <v>-14382</v>
      </c>
      <c r="W251" s="228">
        <f>IF(G251=0,0,V251/G251)</f>
        <v>-1</v>
      </c>
      <c r="X251" s="228"/>
    </row>
    <row r="252" spans="1:25" x14ac:dyDescent="0.25">
      <c r="B252" s="153"/>
      <c r="C252" s="306"/>
      <c r="D252" s="305"/>
      <c r="E252" s="304"/>
      <c r="F252" s="276"/>
      <c r="H252" s="239"/>
      <c r="I252" s="239"/>
      <c r="J252" s="239"/>
      <c r="K252" s="239"/>
      <c r="L252" s="239"/>
      <c r="M252" s="239"/>
      <c r="N252" s="239"/>
      <c r="O252" s="239"/>
      <c r="P252" s="239"/>
      <c r="Q252" s="250"/>
      <c r="R252" s="256"/>
      <c r="S252" s="222"/>
      <c r="T252" s="228"/>
      <c r="U252" s="222"/>
      <c r="V252" s="222"/>
      <c r="W252" s="228"/>
      <c r="X252" s="228"/>
    </row>
    <row r="253" spans="1:25" x14ac:dyDescent="0.25">
      <c r="A253" s="181"/>
      <c r="B253" s="181" t="s">
        <v>62</v>
      </c>
      <c r="C253" s="303"/>
      <c r="D253" s="302"/>
      <c r="E253" s="301"/>
      <c r="F253" s="300">
        <f>SUM(F240:F251)</f>
        <v>96000</v>
      </c>
      <c r="G253" s="300">
        <f>SUM(G240:G251)</f>
        <v>135360</v>
      </c>
      <c r="H253" s="299"/>
      <c r="I253" s="299"/>
      <c r="J253" s="299"/>
      <c r="K253" s="299"/>
      <c r="L253" s="299"/>
      <c r="M253" s="299"/>
      <c r="N253" s="299"/>
      <c r="O253" s="299"/>
      <c r="P253" s="299"/>
      <c r="Q253" s="298"/>
      <c r="R253" s="297"/>
      <c r="S253" s="296">
        <f>R253-F253</f>
        <v>-96000</v>
      </c>
      <c r="T253" s="295">
        <f>IF(F253=0,0,S253/F253)</f>
        <v>-1</v>
      </c>
      <c r="U253" s="296">
        <f>R253*$C$4</f>
        <v>0</v>
      </c>
      <c r="V253" s="296">
        <f>U253-G253</f>
        <v>-135360</v>
      </c>
      <c r="W253" s="295">
        <f>IF(G253=0,0,V253/G253)</f>
        <v>-1</v>
      </c>
      <c r="X253" s="295"/>
    </row>
    <row r="254" spans="1:25" x14ac:dyDescent="0.25">
      <c r="A254" s="150"/>
      <c r="B254" s="150"/>
      <c r="C254" s="294"/>
      <c r="D254" s="293"/>
      <c r="E254" s="292"/>
      <c r="F254" s="291">
        <f>(F253/F256)</f>
        <v>0.12888154980063635</v>
      </c>
      <c r="G254" s="291">
        <f>(G253/G256)</f>
        <v>0.12888154980063632</v>
      </c>
      <c r="H254" s="290"/>
      <c r="I254" s="289"/>
      <c r="J254" s="289"/>
      <c r="K254" s="289"/>
      <c r="L254" s="289"/>
      <c r="M254" s="289"/>
      <c r="N254" s="289"/>
      <c r="O254" s="289"/>
      <c r="P254" s="289"/>
      <c r="Q254" s="289"/>
      <c r="R254" s="288"/>
      <c r="S254" s="288"/>
      <c r="T254" s="288"/>
      <c r="U254" s="288"/>
      <c r="V254" s="288"/>
      <c r="W254" s="288"/>
      <c r="X254" s="288"/>
      <c r="Y254" s="39"/>
    </row>
    <row r="255" spans="1:25" x14ac:dyDescent="0.25">
      <c r="F255" s="276"/>
      <c r="H255" s="239"/>
      <c r="I255" s="239"/>
      <c r="J255" s="239"/>
      <c r="K255" s="239"/>
      <c r="L255" s="239"/>
      <c r="M255" s="239"/>
      <c r="N255" s="239"/>
      <c r="O255" s="239"/>
      <c r="P255" s="239"/>
      <c r="Q255" s="239"/>
      <c r="R255" s="1"/>
      <c r="S255" s="1"/>
      <c r="T255" s="1"/>
      <c r="U255" s="1"/>
      <c r="V255" s="1"/>
      <c r="W255" s="1"/>
      <c r="X255" s="1"/>
    </row>
    <row r="256" spans="1:25" ht="13.8" thickBot="1" x14ac:dyDescent="0.3">
      <c r="B256" s="74" t="s">
        <v>27</v>
      </c>
      <c r="F256" s="287">
        <f>SUM(F236+F253)</f>
        <v>744870</v>
      </c>
      <c r="G256" s="287">
        <f>G236+G253</f>
        <v>1050266.7000000002</v>
      </c>
      <c r="H256" s="286"/>
      <c r="I256" s="286"/>
      <c r="J256" s="286"/>
      <c r="K256" s="286"/>
      <c r="L256" s="286"/>
      <c r="M256" s="286"/>
      <c r="N256" s="286"/>
      <c r="O256" s="286"/>
      <c r="P256" s="286"/>
      <c r="Q256" s="286"/>
      <c r="R256" s="285"/>
      <c r="S256" s="285"/>
      <c r="T256" s="285"/>
      <c r="U256" s="285"/>
      <c r="V256" s="285"/>
      <c r="W256" s="285"/>
      <c r="X256" s="285"/>
    </row>
    <row r="257" spans="1:24" ht="13.8" thickTop="1" x14ac:dyDescent="0.25">
      <c r="F257" s="276"/>
      <c r="G257" s="283"/>
      <c r="H257" s="284"/>
      <c r="I257" s="284"/>
      <c r="J257" s="284"/>
      <c r="K257" s="284"/>
      <c r="L257" s="284"/>
      <c r="M257" s="284"/>
      <c r="N257" s="284"/>
      <c r="O257" s="284"/>
      <c r="P257" s="284"/>
      <c r="Q257" s="284"/>
      <c r="R257" s="283"/>
      <c r="S257" s="283"/>
      <c r="T257" s="283"/>
      <c r="U257" s="283"/>
      <c r="V257" s="283"/>
      <c r="W257" s="283"/>
      <c r="X257" s="283"/>
    </row>
    <row r="258" spans="1:24" x14ac:dyDescent="0.25">
      <c r="A258" s="74" t="s">
        <v>36</v>
      </c>
      <c r="B258" s="39"/>
      <c r="F258" s="1">
        <f>F256*0.03</f>
        <v>22346.1</v>
      </c>
      <c r="G258" s="1">
        <f>G256*0.03</f>
        <v>31508.001000000004</v>
      </c>
      <c r="H258" s="239"/>
      <c r="I258" s="239"/>
      <c r="J258" s="239"/>
      <c r="K258" s="239"/>
      <c r="L258" s="239"/>
      <c r="M258" s="239"/>
      <c r="N258" s="239"/>
      <c r="O258" s="239"/>
      <c r="P258" s="239"/>
      <c r="Q258" s="239"/>
      <c r="R258" s="1"/>
      <c r="S258" s="1"/>
      <c r="T258" s="1"/>
      <c r="U258" s="1"/>
      <c r="V258" s="1"/>
      <c r="W258" s="1"/>
      <c r="X258" s="1"/>
    </row>
    <row r="259" spans="1:24" x14ac:dyDescent="0.25">
      <c r="F259" s="276"/>
      <c r="H259" s="239"/>
      <c r="I259" s="239"/>
      <c r="J259" s="239"/>
      <c r="K259" s="239"/>
      <c r="L259" s="239"/>
      <c r="M259" s="239"/>
      <c r="N259" s="239"/>
      <c r="O259" s="239"/>
      <c r="P259" s="239"/>
      <c r="Q259" s="239"/>
      <c r="R259" s="1"/>
      <c r="S259" s="1"/>
      <c r="T259" s="1"/>
      <c r="U259" s="1"/>
      <c r="V259" s="1"/>
      <c r="W259" s="1"/>
      <c r="X259" s="1"/>
    </row>
    <row r="260" spans="1:24" ht="13.8" thickBot="1" x14ac:dyDescent="0.3">
      <c r="A260" s="117"/>
      <c r="B260" s="117" t="s">
        <v>28</v>
      </c>
      <c r="C260" s="282"/>
      <c r="D260" s="281"/>
      <c r="E260" s="280"/>
      <c r="F260" s="279">
        <f>SUM(F258+F256)</f>
        <v>767216.1</v>
      </c>
      <c r="G260" s="279">
        <f>SUM(G258+G256)</f>
        <v>1081774.7010000001</v>
      </c>
      <c r="H260" s="278"/>
      <c r="I260" s="278"/>
      <c r="J260" s="278"/>
      <c r="K260" s="278"/>
      <c r="L260" s="278"/>
      <c r="M260" s="278"/>
      <c r="N260" s="278"/>
      <c r="O260" s="278"/>
      <c r="P260" s="278"/>
      <c r="Q260" s="278"/>
      <c r="R260" s="277"/>
      <c r="S260" s="277"/>
      <c r="T260" s="277"/>
      <c r="U260" s="277"/>
      <c r="V260" s="277"/>
      <c r="W260" s="277"/>
      <c r="X260" s="277"/>
    </row>
    <row r="261" spans="1:24" hidden="1" x14ac:dyDescent="0.25">
      <c r="F261" s="276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"/>
      <c r="S261" s="1"/>
      <c r="T261" s="1"/>
      <c r="U261" s="1"/>
      <c r="V261" s="1"/>
      <c r="W261" s="1"/>
      <c r="X261" s="1"/>
    </row>
    <row r="262" spans="1:24" ht="13.8" hidden="1" thickBot="1" x14ac:dyDescent="0.3">
      <c r="A262" s="191" t="s">
        <v>24</v>
      </c>
      <c r="B262" s="192"/>
      <c r="C262" s="275"/>
      <c r="D262" s="274"/>
      <c r="E262" s="273"/>
      <c r="F262" s="272">
        <f>SUM(F260-F73)</f>
        <v>767216.1</v>
      </c>
      <c r="G262" s="272">
        <f>SUM(G260-G73)</f>
        <v>1081774.7010000001</v>
      </c>
      <c r="H262" s="271"/>
      <c r="I262" s="271"/>
      <c r="J262" s="271"/>
      <c r="K262" s="271"/>
      <c r="L262" s="271"/>
      <c r="M262" s="271"/>
      <c r="N262" s="271"/>
      <c r="O262" s="271"/>
      <c r="P262" s="271"/>
      <c r="Q262" s="271"/>
      <c r="R262" s="270"/>
      <c r="S262" s="270"/>
      <c r="T262" s="270"/>
      <c r="U262" s="270"/>
      <c r="V262" s="270"/>
      <c r="W262" s="270"/>
      <c r="X262" s="270"/>
    </row>
    <row r="263" spans="1:24" hidden="1" x14ac:dyDescent="0.25">
      <c r="F263" s="268"/>
    </row>
    <row r="264" spans="1:24" x14ac:dyDescent="0.25">
      <c r="F264" s="268"/>
    </row>
    <row r="265" spans="1:24" x14ac:dyDescent="0.25">
      <c r="A265" s="74" t="s">
        <v>15</v>
      </c>
      <c r="F265" s="268"/>
    </row>
    <row r="266" spans="1:24" x14ac:dyDescent="0.25">
      <c r="F266" s="268"/>
    </row>
    <row r="267" spans="1:24" ht="15" x14ac:dyDescent="0.4">
      <c r="B267" s="197" t="s">
        <v>16</v>
      </c>
      <c r="D267" s="269" t="s">
        <v>26</v>
      </c>
      <c r="F267" s="861" t="s">
        <v>17</v>
      </c>
      <c r="G267" s="851"/>
      <c r="H267" s="199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  <c r="S267" s="199"/>
      <c r="T267" s="199"/>
      <c r="U267" s="199"/>
      <c r="V267" s="199"/>
      <c r="W267" s="199"/>
      <c r="X267" s="199"/>
    </row>
    <row r="268" spans="1:24" ht="15" x14ac:dyDescent="0.4">
      <c r="D268" s="269"/>
      <c r="F268" s="268"/>
    </row>
    <row r="269" spans="1:24" x14ac:dyDescent="0.25">
      <c r="F269" s="268"/>
    </row>
    <row r="270" spans="1:24" x14ac:dyDescent="0.25">
      <c r="F270" s="268"/>
    </row>
    <row r="271" spans="1:24" x14ac:dyDescent="0.25">
      <c r="F271" s="268"/>
    </row>
    <row r="272" spans="1:24" x14ac:dyDescent="0.25">
      <c r="F272" s="268"/>
    </row>
    <row r="273" spans="1:6" x14ac:dyDescent="0.25">
      <c r="A273" s="35"/>
      <c r="C273" s="35"/>
      <c r="D273" s="35"/>
      <c r="E273" s="35"/>
      <c r="F273" s="268"/>
    </row>
    <row r="274" spans="1:6" x14ac:dyDescent="0.25">
      <c r="A274" s="35"/>
      <c r="C274" s="35"/>
      <c r="D274" s="35"/>
      <c r="E274" s="35"/>
      <c r="F274" s="268"/>
    </row>
    <row r="275" spans="1:6" x14ac:dyDescent="0.25">
      <c r="A275" s="35"/>
      <c r="C275" s="35"/>
      <c r="D275" s="35"/>
      <c r="E275" s="35"/>
      <c r="F275" s="268"/>
    </row>
    <row r="276" spans="1:6" x14ac:dyDescent="0.25">
      <c r="A276" s="35"/>
      <c r="C276" s="35"/>
      <c r="D276" s="35"/>
      <c r="E276" s="35"/>
      <c r="F276" s="268"/>
    </row>
    <row r="277" spans="1:6" x14ac:dyDescent="0.25">
      <c r="A277" s="35"/>
      <c r="C277" s="35"/>
      <c r="D277" s="35"/>
      <c r="E277" s="35"/>
      <c r="F277" s="268"/>
    </row>
    <row r="278" spans="1:6" x14ac:dyDescent="0.25">
      <c r="A278" s="35"/>
      <c r="C278" s="35"/>
      <c r="D278" s="35"/>
      <c r="E278" s="35"/>
      <c r="F278" s="268"/>
    </row>
    <row r="279" spans="1:6" x14ac:dyDescent="0.25">
      <c r="A279" s="35"/>
      <c r="C279" s="35"/>
      <c r="D279" s="35"/>
      <c r="E279" s="35"/>
      <c r="F279" s="268"/>
    </row>
    <row r="280" spans="1:6" x14ac:dyDescent="0.25">
      <c r="A280" s="35"/>
      <c r="C280" s="35"/>
      <c r="D280" s="35"/>
      <c r="E280" s="35"/>
      <c r="F280" s="268"/>
    </row>
    <row r="281" spans="1:6" x14ac:dyDescent="0.25">
      <c r="A281" s="35"/>
      <c r="C281" s="35"/>
      <c r="D281" s="35"/>
      <c r="E281" s="35"/>
      <c r="F281" s="268"/>
    </row>
    <row r="282" spans="1:6" x14ac:dyDescent="0.25">
      <c r="A282" s="35"/>
      <c r="C282" s="35"/>
      <c r="D282" s="35"/>
      <c r="E282" s="35"/>
      <c r="F282" s="268"/>
    </row>
    <row r="283" spans="1:6" x14ac:dyDescent="0.25">
      <c r="A283" s="35"/>
      <c r="C283" s="35"/>
      <c r="D283" s="35"/>
      <c r="E283" s="35"/>
      <c r="F283" s="268"/>
    </row>
    <row r="284" spans="1:6" x14ac:dyDescent="0.25">
      <c r="A284" s="35"/>
      <c r="C284" s="35"/>
      <c r="D284" s="35"/>
      <c r="E284" s="35"/>
      <c r="F284" s="268"/>
    </row>
    <row r="285" spans="1:6" x14ac:dyDescent="0.25">
      <c r="A285" s="35"/>
      <c r="C285" s="35"/>
      <c r="D285" s="35"/>
      <c r="E285" s="35"/>
      <c r="F285" s="268"/>
    </row>
    <row r="286" spans="1:6" x14ac:dyDescent="0.25">
      <c r="A286" s="35"/>
      <c r="C286" s="35"/>
      <c r="D286" s="35"/>
      <c r="E286" s="35"/>
      <c r="F286" s="268"/>
    </row>
    <row r="287" spans="1:6" x14ac:dyDescent="0.25">
      <c r="A287" s="35"/>
      <c r="C287" s="35"/>
      <c r="D287" s="35"/>
      <c r="E287" s="35"/>
      <c r="F287" s="268"/>
    </row>
    <row r="288" spans="1:6" x14ac:dyDescent="0.25">
      <c r="A288" s="35"/>
      <c r="C288" s="35"/>
      <c r="D288" s="35"/>
      <c r="E288" s="35"/>
      <c r="F288" s="268"/>
    </row>
    <row r="289" spans="1:6" x14ac:dyDescent="0.25">
      <c r="A289" s="35"/>
      <c r="C289" s="35"/>
      <c r="D289" s="35"/>
      <c r="E289" s="35"/>
      <c r="F289" s="268"/>
    </row>
    <row r="290" spans="1:6" x14ac:dyDescent="0.25">
      <c r="A290" s="35"/>
      <c r="C290" s="35"/>
      <c r="D290" s="35"/>
      <c r="E290" s="35"/>
      <c r="F290" s="268"/>
    </row>
    <row r="291" spans="1:6" x14ac:dyDescent="0.25">
      <c r="A291" s="35"/>
      <c r="C291" s="35"/>
      <c r="D291" s="35"/>
      <c r="E291" s="35"/>
      <c r="F291" s="268"/>
    </row>
    <row r="292" spans="1:6" x14ac:dyDescent="0.25">
      <c r="A292" s="35"/>
      <c r="C292" s="35"/>
      <c r="D292" s="35"/>
      <c r="E292" s="35"/>
      <c r="F292" s="268"/>
    </row>
    <row r="293" spans="1:6" x14ac:dyDescent="0.25">
      <c r="A293" s="35"/>
      <c r="C293" s="35"/>
      <c r="D293" s="35"/>
      <c r="E293" s="35"/>
      <c r="F293" s="268"/>
    </row>
    <row r="294" spans="1:6" x14ac:dyDescent="0.25">
      <c r="A294" s="35"/>
      <c r="C294" s="35"/>
      <c r="D294" s="35"/>
      <c r="E294" s="35"/>
      <c r="F294" s="268"/>
    </row>
    <row r="295" spans="1:6" x14ac:dyDescent="0.25">
      <c r="A295" s="35"/>
      <c r="C295" s="35"/>
      <c r="D295" s="35"/>
      <c r="E295" s="35"/>
      <c r="F295" s="268"/>
    </row>
    <row r="296" spans="1:6" x14ac:dyDescent="0.25">
      <c r="A296" s="35"/>
      <c r="C296" s="35"/>
      <c r="D296" s="35"/>
      <c r="E296" s="35"/>
      <c r="F296" s="268"/>
    </row>
    <row r="297" spans="1:6" x14ac:dyDescent="0.25">
      <c r="A297" s="35"/>
      <c r="C297" s="35"/>
      <c r="D297" s="35"/>
      <c r="E297" s="35"/>
      <c r="F297" s="268"/>
    </row>
    <row r="298" spans="1:6" x14ac:dyDescent="0.25">
      <c r="A298" s="35"/>
      <c r="C298" s="35"/>
      <c r="D298" s="35"/>
      <c r="E298" s="35"/>
      <c r="F298" s="268"/>
    </row>
    <row r="299" spans="1:6" x14ac:dyDescent="0.25">
      <c r="A299" s="35"/>
      <c r="C299" s="35"/>
      <c r="D299" s="35"/>
      <c r="E299" s="35"/>
      <c r="F299" s="268"/>
    </row>
    <row r="300" spans="1:6" x14ac:dyDescent="0.25">
      <c r="A300" s="35"/>
      <c r="C300" s="35"/>
      <c r="D300" s="35"/>
      <c r="E300" s="35"/>
      <c r="F300" s="268"/>
    </row>
    <row r="301" spans="1:6" x14ac:dyDescent="0.25">
      <c r="A301" s="35"/>
      <c r="C301" s="35"/>
      <c r="D301" s="35"/>
      <c r="E301" s="35"/>
      <c r="F301" s="268"/>
    </row>
    <row r="302" spans="1:6" x14ac:dyDescent="0.25">
      <c r="A302" s="35"/>
      <c r="C302" s="35"/>
      <c r="D302" s="35"/>
      <c r="E302" s="35"/>
      <c r="F302" s="268"/>
    </row>
    <row r="303" spans="1:6" x14ac:dyDescent="0.25">
      <c r="A303" s="35"/>
      <c r="C303" s="35"/>
      <c r="D303" s="35"/>
      <c r="E303" s="35"/>
      <c r="F303" s="268"/>
    </row>
    <row r="304" spans="1:6" x14ac:dyDescent="0.25">
      <c r="A304" s="35"/>
      <c r="C304" s="35"/>
      <c r="D304" s="35"/>
      <c r="E304" s="35"/>
      <c r="F304" s="268"/>
    </row>
    <row r="305" spans="1:6" x14ac:dyDescent="0.25">
      <c r="A305" s="35"/>
      <c r="C305" s="35"/>
      <c r="D305" s="35"/>
      <c r="E305" s="35"/>
      <c r="F305" s="268"/>
    </row>
    <row r="306" spans="1:6" x14ac:dyDescent="0.25">
      <c r="A306" s="35"/>
      <c r="C306" s="35"/>
      <c r="D306" s="35"/>
      <c r="E306" s="35"/>
      <c r="F306" s="268"/>
    </row>
    <row r="307" spans="1:6" x14ac:dyDescent="0.25">
      <c r="A307" s="35"/>
      <c r="C307" s="35"/>
      <c r="D307" s="35"/>
      <c r="E307" s="35"/>
      <c r="F307" s="268"/>
    </row>
    <row r="308" spans="1:6" x14ac:dyDescent="0.25">
      <c r="A308" s="35"/>
      <c r="C308" s="35"/>
      <c r="D308" s="35"/>
      <c r="E308" s="35"/>
      <c r="F308" s="268"/>
    </row>
    <row r="309" spans="1:6" x14ac:dyDescent="0.25">
      <c r="A309" s="35"/>
      <c r="C309" s="35"/>
      <c r="D309" s="35"/>
      <c r="E309" s="35"/>
      <c r="F309" s="268"/>
    </row>
    <row r="310" spans="1:6" x14ac:dyDescent="0.25">
      <c r="A310" s="35"/>
      <c r="C310" s="35"/>
      <c r="D310" s="35"/>
      <c r="E310" s="35"/>
      <c r="F310" s="268"/>
    </row>
    <row r="311" spans="1:6" x14ac:dyDescent="0.25">
      <c r="A311" s="35"/>
      <c r="C311" s="35"/>
      <c r="D311" s="35"/>
      <c r="E311" s="35"/>
      <c r="F311" s="268"/>
    </row>
    <row r="312" spans="1:6" x14ac:dyDescent="0.25">
      <c r="A312" s="35"/>
      <c r="C312" s="35"/>
      <c r="D312" s="35"/>
      <c r="E312" s="35"/>
      <c r="F312" s="268"/>
    </row>
    <row r="313" spans="1:6" x14ac:dyDescent="0.25">
      <c r="A313" s="35"/>
      <c r="C313" s="35"/>
      <c r="D313" s="35"/>
      <c r="E313" s="35"/>
      <c r="F313" s="268"/>
    </row>
    <row r="314" spans="1:6" x14ac:dyDescent="0.25">
      <c r="A314" s="35"/>
      <c r="C314" s="35"/>
      <c r="D314" s="35"/>
      <c r="E314" s="35"/>
      <c r="F314" s="268"/>
    </row>
    <row r="315" spans="1:6" x14ac:dyDescent="0.25">
      <c r="A315" s="35"/>
      <c r="C315" s="35"/>
      <c r="D315" s="35"/>
      <c r="E315" s="35"/>
      <c r="F315" s="268"/>
    </row>
    <row r="316" spans="1:6" x14ac:dyDescent="0.25">
      <c r="A316" s="35"/>
      <c r="C316" s="35"/>
      <c r="D316" s="35"/>
      <c r="E316" s="35"/>
      <c r="F316" s="268"/>
    </row>
    <row r="317" spans="1:6" x14ac:dyDescent="0.25">
      <c r="A317" s="35"/>
      <c r="C317" s="35"/>
      <c r="D317" s="35"/>
      <c r="E317" s="35"/>
      <c r="F317" s="268"/>
    </row>
    <row r="318" spans="1:6" x14ac:dyDescent="0.25">
      <c r="A318" s="35"/>
      <c r="C318" s="35"/>
      <c r="D318" s="35"/>
      <c r="E318" s="35"/>
      <c r="F318" s="268"/>
    </row>
    <row r="319" spans="1:6" x14ac:dyDescent="0.25">
      <c r="A319" s="35"/>
      <c r="C319" s="35"/>
      <c r="D319" s="35"/>
      <c r="E319" s="35"/>
      <c r="F319" s="268"/>
    </row>
    <row r="320" spans="1:6" x14ac:dyDescent="0.25">
      <c r="A320" s="35"/>
      <c r="C320" s="35"/>
      <c r="D320" s="35"/>
      <c r="E320" s="35"/>
      <c r="F320" s="268"/>
    </row>
    <row r="321" spans="1:6" x14ac:dyDescent="0.25">
      <c r="A321" s="35"/>
      <c r="C321" s="35"/>
      <c r="D321" s="35"/>
      <c r="E321" s="35"/>
      <c r="F321" s="268"/>
    </row>
    <row r="322" spans="1:6" x14ac:dyDescent="0.25">
      <c r="A322" s="35"/>
      <c r="C322" s="35"/>
      <c r="D322" s="35"/>
      <c r="E322" s="35"/>
      <c r="F322" s="268"/>
    </row>
    <row r="323" spans="1:6" x14ac:dyDescent="0.25">
      <c r="A323" s="35"/>
      <c r="C323" s="35"/>
      <c r="D323" s="35"/>
      <c r="E323" s="35"/>
      <c r="F323" s="268"/>
    </row>
    <row r="324" spans="1:6" x14ac:dyDescent="0.25">
      <c r="A324" s="35"/>
      <c r="C324" s="35"/>
      <c r="D324" s="35"/>
      <c r="E324" s="35"/>
      <c r="F324" s="268"/>
    </row>
    <row r="325" spans="1:6" x14ac:dyDescent="0.25">
      <c r="A325" s="35"/>
      <c r="C325" s="35"/>
      <c r="D325" s="35"/>
      <c r="E325" s="35"/>
      <c r="F325" s="268"/>
    </row>
    <row r="326" spans="1:6" x14ac:dyDescent="0.25">
      <c r="A326" s="35"/>
      <c r="C326" s="35"/>
      <c r="D326" s="35"/>
      <c r="E326" s="35"/>
      <c r="F326" s="268"/>
    </row>
    <row r="327" spans="1:6" x14ac:dyDescent="0.25">
      <c r="A327" s="35"/>
      <c r="C327" s="35"/>
      <c r="D327" s="35"/>
      <c r="E327" s="35"/>
      <c r="F327" s="268"/>
    </row>
    <row r="328" spans="1:6" x14ac:dyDescent="0.25">
      <c r="A328" s="35"/>
      <c r="C328" s="35"/>
      <c r="D328" s="35"/>
      <c r="E328" s="35"/>
      <c r="F328" s="268"/>
    </row>
    <row r="329" spans="1:6" x14ac:dyDescent="0.25">
      <c r="A329" s="35"/>
      <c r="C329" s="35"/>
      <c r="D329" s="35"/>
      <c r="E329" s="35"/>
      <c r="F329" s="268"/>
    </row>
    <row r="330" spans="1:6" x14ac:dyDescent="0.25">
      <c r="A330" s="35"/>
      <c r="C330" s="35"/>
      <c r="D330" s="35"/>
      <c r="E330" s="35"/>
      <c r="F330" s="268"/>
    </row>
    <row r="331" spans="1:6" x14ac:dyDescent="0.25">
      <c r="A331" s="35"/>
      <c r="C331" s="35"/>
      <c r="D331" s="35"/>
      <c r="E331" s="35"/>
      <c r="F331" s="268"/>
    </row>
    <row r="332" spans="1:6" x14ac:dyDescent="0.25">
      <c r="A332" s="35"/>
      <c r="C332" s="35"/>
      <c r="D332" s="35"/>
      <c r="E332" s="35"/>
      <c r="F332" s="268"/>
    </row>
    <row r="333" spans="1:6" x14ac:dyDescent="0.25">
      <c r="A333" s="35"/>
      <c r="C333" s="35"/>
      <c r="D333" s="35"/>
      <c r="E333" s="35"/>
      <c r="F333" s="268"/>
    </row>
    <row r="334" spans="1:6" x14ac:dyDescent="0.25">
      <c r="A334" s="35"/>
      <c r="C334" s="35"/>
      <c r="D334" s="35"/>
      <c r="E334" s="35"/>
      <c r="F334" s="268"/>
    </row>
    <row r="335" spans="1:6" x14ac:dyDescent="0.25">
      <c r="A335" s="35"/>
      <c r="C335" s="35"/>
      <c r="D335" s="35"/>
      <c r="E335" s="35"/>
      <c r="F335" s="268"/>
    </row>
    <row r="336" spans="1:6" x14ac:dyDescent="0.25">
      <c r="A336" s="35"/>
      <c r="C336" s="35"/>
      <c r="D336" s="35"/>
      <c r="E336" s="35"/>
      <c r="F336" s="268"/>
    </row>
    <row r="337" spans="1:6" x14ac:dyDescent="0.25">
      <c r="A337" s="35"/>
      <c r="C337" s="35"/>
      <c r="D337" s="35"/>
      <c r="E337" s="35"/>
      <c r="F337" s="268"/>
    </row>
    <row r="338" spans="1:6" x14ac:dyDescent="0.25">
      <c r="A338" s="35"/>
      <c r="C338" s="35"/>
      <c r="D338" s="35"/>
      <c r="E338" s="35"/>
      <c r="F338" s="268"/>
    </row>
    <row r="339" spans="1:6" x14ac:dyDescent="0.25">
      <c r="A339" s="35"/>
      <c r="C339" s="35"/>
      <c r="D339" s="35"/>
      <c r="E339" s="35"/>
      <c r="F339" s="268"/>
    </row>
    <row r="340" spans="1:6" x14ac:dyDescent="0.25">
      <c r="A340" s="35"/>
      <c r="C340" s="35"/>
      <c r="D340" s="35"/>
      <c r="E340" s="35"/>
      <c r="F340" s="268"/>
    </row>
    <row r="341" spans="1:6" x14ac:dyDescent="0.25">
      <c r="A341" s="35"/>
      <c r="C341" s="35"/>
      <c r="D341" s="35"/>
      <c r="E341" s="35"/>
      <c r="F341" s="268"/>
    </row>
    <row r="342" spans="1:6" x14ac:dyDescent="0.25">
      <c r="A342" s="35"/>
      <c r="C342" s="35"/>
      <c r="D342" s="35"/>
      <c r="E342" s="35"/>
      <c r="F342" s="268"/>
    </row>
    <row r="343" spans="1:6" x14ac:dyDescent="0.25">
      <c r="A343" s="35"/>
      <c r="C343" s="35"/>
      <c r="D343" s="35"/>
      <c r="E343" s="35"/>
      <c r="F343" s="268"/>
    </row>
    <row r="344" spans="1:6" x14ac:dyDescent="0.25">
      <c r="A344" s="35"/>
      <c r="C344" s="35"/>
      <c r="D344" s="35"/>
      <c r="E344" s="35"/>
      <c r="F344" s="268"/>
    </row>
    <row r="345" spans="1:6" x14ac:dyDescent="0.25">
      <c r="A345" s="35"/>
      <c r="C345" s="35"/>
      <c r="D345" s="35"/>
      <c r="E345" s="35"/>
      <c r="F345" s="268"/>
    </row>
    <row r="346" spans="1:6" x14ac:dyDescent="0.25">
      <c r="A346" s="35"/>
      <c r="C346" s="35"/>
      <c r="D346" s="35"/>
      <c r="E346" s="35"/>
      <c r="F346" s="268"/>
    </row>
    <row r="347" spans="1:6" x14ac:dyDescent="0.25">
      <c r="A347" s="35"/>
      <c r="C347" s="35"/>
      <c r="D347" s="35"/>
      <c r="E347" s="35"/>
      <c r="F347" s="268"/>
    </row>
    <row r="348" spans="1:6" x14ac:dyDescent="0.25">
      <c r="A348" s="35"/>
      <c r="C348" s="35"/>
      <c r="D348" s="35"/>
      <c r="E348" s="35"/>
      <c r="F348" s="268"/>
    </row>
    <row r="349" spans="1:6" x14ac:dyDescent="0.25">
      <c r="A349" s="35"/>
      <c r="C349" s="35"/>
      <c r="D349" s="35"/>
      <c r="E349" s="35"/>
      <c r="F349" s="268"/>
    </row>
    <row r="350" spans="1:6" x14ac:dyDescent="0.25">
      <c r="A350" s="35"/>
      <c r="C350" s="35"/>
      <c r="D350" s="35"/>
      <c r="E350" s="35"/>
      <c r="F350" s="268"/>
    </row>
    <row r="351" spans="1:6" x14ac:dyDescent="0.25">
      <c r="A351" s="35"/>
      <c r="C351" s="35"/>
      <c r="D351" s="35"/>
      <c r="E351" s="35"/>
      <c r="F351" s="268"/>
    </row>
    <row r="352" spans="1:6" x14ac:dyDescent="0.25">
      <c r="A352" s="35"/>
      <c r="C352" s="35"/>
      <c r="D352" s="35"/>
      <c r="E352" s="35"/>
      <c r="F352" s="268"/>
    </row>
    <row r="353" spans="1:6" x14ac:dyDescent="0.25">
      <c r="A353" s="35"/>
      <c r="C353" s="35"/>
      <c r="D353" s="35"/>
      <c r="E353" s="35"/>
      <c r="F353" s="268"/>
    </row>
    <row r="354" spans="1:6" x14ac:dyDescent="0.25">
      <c r="A354" s="35"/>
      <c r="C354" s="35"/>
      <c r="D354" s="35"/>
      <c r="E354" s="35"/>
      <c r="F354" s="268"/>
    </row>
    <row r="355" spans="1:6" x14ac:dyDescent="0.25">
      <c r="A355" s="35"/>
      <c r="C355" s="35"/>
      <c r="D355" s="35"/>
      <c r="E355" s="35"/>
      <c r="F355" s="268"/>
    </row>
    <row r="356" spans="1:6" x14ac:dyDescent="0.25">
      <c r="A356" s="35"/>
      <c r="C356" s="35"/>
      <c r="D356" s="35"/>
      <c r="E356" s="35"/>
      <c r="F356" s="268"/>
    </row>
    <row r="357" spans="1:6" x14ac:dyDescent="0.25">
      <c r="A357" s="35"/>
      <c r="C357" s="35"/>
      <c r="D357" s="35"/>
      <c r="E357" s="35"/>
      <c r="F357" s="268"/>
    </row>
    <row r="358" spans="1:6" x14ac:dyDescent="0.25">
      <c r="A358" s="35"/>
      <c r="C358" s="35"/>
      <c r="D358" s="35"/>
      <c r="E358" s="35"/>
      <c r="F358" s="268"/>
    </row>
    <row r="359" spans="1:6" x14ac:dyDescent="0.25">
      <c r="A359" s="35"/>
      <c r="C359" s="35"/>
      <c r="D359" s="35"/>
      <c r="E359" s="35"/>
      <c r="F359" s="268"/>
    </row>
    <row r="360" spans="1:6" x14ac:dyDescent="0.25">
      <c r="A360" s="35"/>
      <c r="C360" s="35"/>
      <c r="D360" s="35"/>
      <c r="E360" s="35"/>
      <c r="F360" s="268"/>
    </row>
    <row r="361" spans="1:6" x14ac:dyDescent="0.25">
      <c r="A361" s="35"/>
      <c r="C361" s="35"/>
      <c r="D361" s="35"/>
      <c r="E361" s="35"/>
      <c r="F361" s="268"/>
    </row>
    <row r="362" spans="1:6" x14ac:dyDescent="0.25">
      <c r="A362" s="35"/>
      <c r="C362" s="35"/>
      <c r="D362" s="35"/>
      <c r="E362" s="35"/>
      <c r="F362" s="268"/>
    </row>
    <row r="363" spans="1:6" x14ac:dyDescent="0.25">
      <c r="A363" s="35"/>
      <c r="C363" s="35"/>
      <c r="D363" s="35"/>
      <c r="E363" s="35"/>
      <c r="F363" s="268"/>
    </row>
    <row r="364" spans="1:6" x14ac:dyDescent="0.25">
      <c r="A364" s="35"/>
      <c r="C364" s="35"/>
      <c r="D364" s="35"/>
      <c r="E364" s="35"/>
      <c r="F364" s="268"/>
    </row>
    <row r="365" spans="1:6" x14ac:dyDescent="0.25">
      <c r="A365" s="35"/>
      <c r="C365" s="35"/>
      <c r="D365" s="35"/>
      <c r="E365" s="35"/>
      <c r="F365" s="268"/>
    </row>
    <row r="366" spans="1:6" x14ac:dyDescent="0.25">
      <c r="A366" s="35"/>
      <c r="C366" s="35"/>
      <c r="D366" s="35"/>
      <c r="E366" s="35"/>
      <c r="F366" s="268"/>
    </row>
    <row r="367" spans="1:6" x14ac:dyDescent="0.25">
      <c r="A367" s="35"/>
      <c r="C367" s="35"/>
      <c r="D367" s="35"/>
      <c r="E367" s="35"/>
      <c r="F367" s="268"/>
    </row>
    <row r="368" spans="1:6" x14ac:dyDescent="0.25">
      <c r="A368" s="35"/>
      <c r="C368" s="35"/>
      <c r="D368" s="35"/>
      <c r="E368" s="35"/>
      <c r="F368" s="268"/>
    </row>
    <row r="369" spans="1:6" x14ac:dyDescent="0.25">
      <c r="A369" s="35"/>
      <c r="C369" s="35"/>
      <c r="D369" s="35"/>
      <c r="E369" s="35"/>
      <c r="F369" s="268"/>
    </row>
    <row r="370" spans="1:6" x14ac:dyDescent="0.25">
      <c r="A370" s="35"/>
      <c r="C370" s="35"/>
      <c r="D370" s="35"/>
      <c r="E370" s="35"/>
      <c r="F370" s="268"/>
    </row>
    <row r="371" spans="1:6" x14ac:dyDescent="0.25">
      <c r="A371" s="35"/>
      <c r="C371" s="35"/>
      <c r="D371" s="35"/>
      <c r="E371" s="35"/>
      <c r="F371" s="268"/>
    </row>
    <row r="372" spans="1:6" x14ac:dyDescent="0.25">
      <c r="A372" s="35"/>
      <c r="C372" s="35"/>
      <c r="D372" s="35"/>
      <c r="E372" s="35"/>
      <c r="F372" s="268"/>
    </row>
    <row r="373" spans="1:6" x14ac:dyDescent="0.25">
      <c r="A373" s="35"/>
      <c r="C373" s="35"/>
      <c r="D373" s="35"/>
      <c r="E373" s="35"/>
      <c r="F373" s="268"/>
    </row>
    <row r="374" spans="1:6" x14ac:dyDescent="0.25">
      <c r="A374" s="35"/>
      <c r="C374" s="35"/>
      <c r="D374" s="35"/>
      <c r="E374" s="35"/>
      <c r="F374" s="268"/>
    </row>
    <row r="375" spans="1:6" x14ac:dyDescent="0.25">
      <c r="A375" s="35"/>
      <c r="C375" s="35"/>
      <c r="D375" s="35"/>
      <c r="E375" s="35"/>
      <c r="F375" s="268"/>
    </row>
    <row r="376" spans="1:6" x14ac:dyDescent="0.25">
      <c r="A376" s="35"/>
      <c r="C376" s="35"/>
      <c r="D376" s="35"/>
      <c r="E376" s="35"/>
      <c r="F376" s="268"/>
    </row>
    <row r="377" spans="1:6" x14ac:dyDescent="0.25">
      <c r="A377" s="35"/>
      <c r="C377" s="35"/>
      <c r="D377" s="35"/>
      <c r="E377" s="35"/>
      <c r="F377" s="268"/>
    </row>
    <row r="378" spans="1:6" x14ac:dyDescent="0.25">
      <c r="A378" s="35"/>
      <c r="C378" s="35"/>
      <c r="D378" s="35"/>
      <c r="E378" s="35"/>
      <c r="F378" s="268"/>
    </row>
    <row r="379" spans="1:6" x14ac:dyDescent="0.25">
      <c r="A379" s="35"/>
      <c r="C379" s="35"/>
      <c r="D379" s="35"/>
      <c r="E379" s="35"/>
      <c r="F379" s="268"/>
    </row>
    <row r="380" spans="1:6" x14ac:dyDescent="0.25">
      <c r="A380" s="35"/>
      <c r="C380" s="35"/>
      <c r="D380" s="35"/>
      <c r="E380" s="35"/>
      <c r="F380" s="268"/>
    </row>
    <row r="381" spans="1:6" x14ac:dyDescent="0.25">
      <c r="A381" s="35"/>
      <c r="C381" s="35"/>
      <c r="D381" s="35"/>
      <c r="E381" s="35"/>
      <c r="F381" s="268"/>
    </row>
    <row r="382" spans="1:6" x14ac:dyDescent="0.25">
      <c r="A382" s="35"/>
      <c r="C382" s="35"/>
      <c r="D382" s="35"/>
      <c r="E382" s="35"/>
      <c r="F382" s="268"/>
    </row>
    <row r="383" spans="1:6" x14ac:dyDescent="0.25">
      <c r="A383" s="35"/>
      <c r="C383" s="35"/>
      <c r="D383" s="35"/>
      <c r="E383" s="35"/>
      <c r="F383" s="268"/>
    </row>
    <row r="384" spans="1:6" x14ac:dyDescent="0.25">
      <c r="A384" s="35"/>
      <c r="C384" s="35"/>
      <c r="D384" s="35"/>
      <c r="E384" s="35"/>
      <c r="F384" s="268"/>
    </row>
    <row r="385" spans="1:6" x14ac:dyDescent="0.25">
      <c r="A385" s="35"/>
      <c r="C385" s="35"/>
      <c r="D385" s="35"/>
      <c r="E385" s="35"/>
      <c r="F385" s="268"/>
    </row>
    <row r="386" spans="1:6" x14ac:dyDescent="0.25">
      <c r="A386" s="35"/>
      <c r="C386" s="35"/>
      <c r="D386" s="35"/>
      <c r="E386" s="35"/>
      <c r="F386" s="268"/>
    </row>
    <row r="387" spans="1:6" x14ac:dyDescent="0.25">
      <c r="A387" s="35"/>
      <c r="C387" s="35"/>
      <c r="D387" s="35"/>
      <c r="E387" s="35"/>
      <c r="F387" s="268"/>
    </row>
    <row r="388" spans="1:6" x14ac:dyDescent="0.25">
      <c r="A388" s="35"/>
      <c r="C388" s="35"/>
      <c r="D388" s="35"/>
      <c r="E388" s="35"/>
      <c r="F388" s="268"/>
    </row>
    <row r="389" spans="1:6" x14ac:dyDescent="0.25">
      <c r="A389" s="35"/>
      <c r="C389" s="35"/>
      <c r="D389" s="35"/>
      <c r="E389" s="35"/>
      <c r="F389" s="268"/>
    </row>
    <row r="390" spans="1:6" x14ac:dyDescent="0.25">
      <c r="A390" s="35"/>
      <c r="C390" s="35"/>
      <c r="D390" s="35"/>
      <c r="E390" s="35"/>
      <c r="F390" s="268"/>
    </row>
    <row r="391" spans="1:6" x14ac:dyDescent="0.25">
      <c r="A391" s="35"/>
      <c r="C391" s="35"/>
      <c r="D391" s="35"/>
      <c r="E391" s="35"/>
      <c r="F391" s="268"/>
    </row>
    <row r="392" spans="1:6" x14ac:dyDescent="0.25">
      <c r="A392" s="35"/>
      <c r="C392" s="35"/>
      <c r="D392" s="35"/>
      <c r="E392" s="35"/>
      <c r="F392" s="268"/>
    </row>
    <row r="393" spans="1:6" x14ac:dyDescent="0.25">
      <c r="A393" s="35"/>
      <c r="C393" s="35"/>
      <c r="D393" s="35"/>
      <c r="E393" s="35"/>
      <c r="F393" s="268"/>
    </row>
    <row r="394" spans="1:6" x14ac:dyDescent="0.25">
      <c r="A394" s="35"/>
      <c r="C394" s="35"/>
      <c r="D394" s="35"/>
      <c r="E394" s="35"/>
      <c r="F394" s="268"/>
    </row>
    <row r="395" spans="1:6" x14ac:dyDescent="0.25">
      <c r="A395" s="35"/>
      <c r="C395" s="35"/>
      <c r="D395" s="35"/>
      <c r="E395" s="35"/>
      <c r="F395" s="268"/>
    </row>
    <row r="396" spans="1:6" x14ac:dyDescent="0.25">
      <c r="A396" s="35"/>
      <c r="C396" s="35"/>
      <c r="D396" s="35"/>
      <c r="E396" s="35"/>
      <c r="F396" s="268"/>
    </row>
    <row r="397" spans="1:6" x14ac:dyDescent="0.25">
      <c r="A397" s="35"/>
      <c r="C397" s="35"/>
      <c r="D397" s="35"/>
      <c r="E397" s="35"/>
      <c r="F397" s="268"/>
    </row>
    <row r="398" spans="1:6" x14ac:dyDescent="0.25">
      <c r="A398" s="35"/>
      <c r="C398" s="35"/>
      <c r="D398" s="35"/>
      <c r="E398" s="35"/>
      <c r="F398" s="268"/>
    </row>
    <row r="399" spans="1:6" x14ac:dyDescent="0.25">
      <c r="A399" s="35"/>
      <c r="C399" s="35"/>
      <c r="D399" s="35"/>
      <c r="E399" s="35"/>
      <c r="F399" s="268"/>
    </row>
    <row r="400" spans="1:6" x14ac:dyDescent="0.25">
      <c r="A400" s="35"/>
      <c r="C400" s="35"/>
      <c r="D400" s="35"/>
      <c r="E400" s="35"/>
      <c r="F400" s="268"/>
    </row>
    <row r="401" spans="1:6" x14ac:dyDescent="0.25">
      <c r="A401" s="35"/>
      <c r="C401" s="35"/>
      <c r="D401" s="35"/>
      <c r="E401" s="35"/>
      <c r="F401" s="268"/>
    </row>
    <row r="402" spans="1:6" x14ac:dyDescent="0.25">
      <c r="A402" s="35"/>
      <c r="C402" s="35"/>
      <c r="D402" s="35"/>
      <c r="E402" s="35"/>
      <c r="F402" s="268"/>
    </row>
    <row r="403" spans="1:6" x14ac:dyDescent="0.25">
      <c r="A403" s="35"/>
      <c r="C403" s="35"/>
      <c r="D403" s="35"/>
      <c r="E403" s="35"/>
      <c r="F403" s="268"/>
    </row>
    <row r="404" spans="1:6" x14ac:dyDescent="0.25">
      <c r="A404" s="35"/>
      <c r="C404" s="35"/>
      <c r="D404" s="35"/>
      <c r="E404" s="35"/>
      <c r="F404" s="268"/>
    </row>
    <row r="405" spans="1:6" x14ac:dyDescent="0.25">
      <c r="A405" s="35"/>
      <c r="C405" s="35"/>
      <c r="D405" s="35"/>
      <c r="E405" s="35"/>
      <c r="F405" s="268"/>
    </row>
    <row r="406" spans="1:6" x14ac:dyDescent="0.25">
      <c r="A406" s="35"/>
      <c r="C406" s="35"/>
      <c r="D406" s="35"/>
      <c r="E406" s="35"/>
      <c r="F406" s="268"/>
    </row>
    <row r="407" spans="1:6" x14ac:dyDescent="0.25">
      <c r="A407" s="35"/>
      <c r="C407" s="35"/>
      <c r="D407" s="35"/>
      <c r="E407" s="35"/>
      <c r="F407" s="268"/>
    </row>
    <row r="408" spans="1:6" x14ac:dyDescent="0.25">
      <c r="A408" s="35"/>
      <c r="C408" s="35"/>
      <c r="D408" s="35"/>
      <c r="E408" s="35"/>
      <c r="F408" s="268"/>
    </row>
    <row r="409" spans="1:6" x14ac:dyDescent="0.25">
      <c r="A409" s="35"/>
      <c r="C409" s="35"/>
      <c r="D409" s="35"/>
      <c r="E409" s="35"/>
      <c r="F409" s="268"/>
    </row>
    <row r="410" spans="1:6" x14ac:dyDescent="0.25">
      <c r="A410" s="35"/>
      <c r="C410" s="35"/>
      <c r="D410" s="35"/>
      <c r="E410" s="35"/>
      <c r="F410" s="268"/>
    </row>
    <row r="411" spans="1:6" x14ac:dyDescent="0.25">
      <c r="A411" s="35"/>
      <c r="C411" s="35"/>
      <c r="D411" s="35"/>
      <c r="E411" s="35"/>
      <c r="F411" s="268"/>
    </row>
    <row r="412" spans="1:6" x14ac:dyDescent="0.25">
      <c r="A412" s="35"/>
      <c r="C412" s="35"/>
      <c r="D412" s="35"/>
      <c r="E412" s="35"/>
      <c r="F412" s="268"/>
    </row>
    <row r="413" spans="1:6" x14ac:dyDescent="0.25">
      <c r="A413" s="35"/>
      <c r="C413" s="35"/>
      <c r="D413" s="35"/>
      <c r="E413" s="35"/>
      <c r="F413" s="268"/>
    </row>
    <row r="414" spans="1:6" x14ac:dyDescent="0.25">
      <c r="A414" s="35"/>
      <c r="C414" s="35"/>
      <c r="D414" s="35"/>
      <c r="E414" s="35"/>
      <c r="F414" s="268"/>
    </row>
    <row r="415" spans="1:6" x14ac:dyDescent="0.25">
      <c r="A415" s="35"/>
      <c r="C415" s="35"/>
      <c r="D415" s="35"/>
      <c r="E415" s="35"/>
      <c r="F415" s="268"/>
    </row>
    <row r="416" spans="1:6" x14ac:dyDescent="0.25">
      <c r="A416" s="35"/>
      <c r="C416" s="35"/>
      <c r="D416" s="35"/>
      <c r="E416" s="35"/>
      <c r="F416" s="268"/>
    </row>
    <row r="417" spans="1:6" x14ac:dyDescent="0.25">
      <c r="A417" s="35"/>
      <c r="C417" s="35"/>
      <c r="D417" s="35"/>
      <c r="E417" s="35"/>
      <c r="F417" s="268"/>
    </row>
    <row r="418" spans="1:6" x14ac:dyDescent="0.25">
      <c r="A418" s="35"/>
      <c r="C418" s="35"/>
      <c r="D418" s="35"/>
      <c r="E418" s="35"/>
      <c r="F418" s="268"/>
    </row>
    <row r="419" spans="1:6" x14ac:dyDescent="0.25">
      <c r="A419" s="35"/>
      <c r="C419" s="35"/>
      <c r="D419" s="35"/>
      <c r="E419" s="35"/>
      <c r="F419" s="268"/>
    </row>
    <row r="420" spans="1:6" x14ac:dyDescent="0.25">
      <c r="A420" s="35"/>
      <c r="C420" s="35"/>
      <c r="D420" s="35"/>
      <c r="E420" s="35"/>
      <c r="F420" s="268"/>
    </row>
    <row r="421" spans="1:6" x14ac:dyDescent="0.25">
      <c r="A421" s="35"/>
      <c r="C421" s="35"/>
      <c r="D421" s="35"/>
      <c r="E421" s="35"/>
      <c r="F421" s="268"/>
    </row>
    <row r="422" spans="1:6" x14ac:dyDescent="0.25">
      <c r="A422" s="35"/>
      <c r="C422" s="35"/>
      <c r="D422" s="35"/>
      <c r="E422" s="35"/>
      <c r="F422" s="268"/>
    </row>
    <row r="423" spans="1:6" x14ac:dyDescent="0.25">
      <c r="A423" s="35"/>
      <c r="C423" s="35"/>
      <c r="D423" s="35"/>
      <c r="E423" s="35"/>
      <c r="F423" s="268"/>
    </row>
    <row r="424" spans="1:6" x14ac:dyDescent="0.25">
      <c r="A424" s="35"/>
      <c r="C424" s="35"/>
      <c r="D424" s="35"/>
      <c r="E424" s="35"/>
      <c r="F424" s="268"/>
    </row>
    <row r="425" spans="1:6" x14ac:dyDescent="0.25">
      <c r="A425" s="35"/>
      <c r="C425" s="35"/>
      <c r="D425" s="35"/>
      <c r="E425" s="35"/>
      <c r="F425" s="268"/>
    </row>
    <row r="426" spans="1:6" x14ac:dyDescent="0.25">
      <c r="A426" s="35"/>
      <c r="C426" s="35"/>
      <c r="D426" s="35"/>
      <c r="E426" s="35"/>
      <c r="F426" s="268"/>
    </row>
    <row r="427" spans="1:6" x14ac:dyDescent="0.25">
      <c r="A427" s="35"/>
      <c r="C427" s="35"/>
      <c r="D427" s="35"/>
      <c r="E427" s="35"/>
      <c r="F427" s="268"/>
    </row>
    <row r="428" spans="1:6" x14ac:dyDescent="0.25">
      <c r="A428" s="35"/>
      <c r="C428" s="35"/>
      <c r="D428" s="35"/>
      <c r="E428" s="35"/>
      <c r="F428" s="268"/>
    </row>
    <row r="429" spans="1:6" x14ac:dyDescent="0.25">
      <c r="A429" s="35"/>
      <c r="C429" s="35"/>
      <c r="D429" s="35"/>
      <c r="E429" s="35"/>
      <c r="F429" s="268"/>
    </row>
    <row r="430" spans="1:6" x14ac:dyDescent="0.25">
      <c r="A430" s="35"/>
      <c r="C430" s="35"/>
      <c r="D430" s="35"/>
      <c r="E430" s="35"/>
      <c r="F430" s="268"/>
    </row>
    <row r="431" spans="1:6" x14ac:dyDescent="0.25">
      <c r="A431" s="35"/>
      <c r="C431" s="35"/>
      <c r="D431" s="35"/>
      <c r="E431" s="35"/>
      <c r="F431" s="268"/>
    </row>
    <row r="432" spans="1:6" x14ac:dyDescent="0.25">
      <c r="A432" s="35"/>
      <c r="C432" s="35"/>
      <c r="D432" s="35"/>
      <c r="E432" s="35"/>
      <c r="F432" s="268"/>
    </row>
    <row r="433" spans="1:6" x14ac:dyDescent="0.25">
      <c r="A433" s="35"/>
      <c r="C433" s="35"/>
      <c r="D433" s="35"/>
      <c r="E433" s="35"/>
      <c r="F433" s="268"/>
    </row>
    <row r="434" spans="1:6" x14ac:dyDescent="0.25">
      <c r="A434" s="35"/>
      <c r="C434" s="35"/>
      <c r="D434" s="35"/>
      <c r="E434" s="35"/>
      <c r="F434" s="268"/>
    </row>
    <row r="435" spans="1:6" x14ac:dyDescent="0.25">
      <c r="A435" s="35"/>
      <c r="C435" s="35"/>
      <c r="D435" s="35"/>
      <c r="E435" s="35"/>
      <c r="F435" s="268"/>
    </row>
    <row r="436" spans="1:6" x14ac:dyDescent="0.25">
      <c r="A436" s="35"/>
      <c r="C436" s="35"/>
      <c r="D436" s="35"/>
      <c r="E436" s="35"/>
      <c r="F436" s="268"/>
    </row>
    <row r="437" spans="1:6" x14ac:dyDescent="0.25">
      <c r="A437" s="35"/>
      <c r="C437" s="35"/>
      <c r="D437" s="35"/>
      <c r="E437" s="35"/>
      <c r="F437" s="268"/>
    </row>
    <row r="438" spans="1:6" x14ac:dyDescent="0.25">
      <c r="A438" s="35"/>
      <c r="C438" s="35"/>
      <c r="D438" s="35"/>
      <c r="E438" s="35"/>
      <c r="F438" s="268"/>
    </row>
    <row r="439" spans="1:6" x14ac:dyDescent="0.25">
      <c r="A439" s="35"/>
      <c r="C439" s="35"/>
      <c r="D439" s="35"/>
      <c r="E439" s="35"/>
      <c r="F439" s="268"/>
    </row>
    <row r="440" spans="1:6" x14ac:dyDescent="0.25">
      <c r="A440" s="35"/>
      <c r="C440" s="35"/>
      <c r="D440" s="35"/>
      <c r="E440" s="35"/>
      <c r="F440" s="268"/>
    </row>
    <row r="441" spans="1:6" x14ac:dyDescent="0.25">
      <c r="A441" s="35"/>
      <c r="C441" s="35"/>
      <c r="D441" s="35"/>
      <c r="E441" s="35"/>
      <c r="F441" s="268"/>
    </row>
    <row r="442" spans="1:6" x14ac:dyDescent="0.25">
      <c r="A442" s="35"/>
      <c r="C442" s="35"/>
      <c r="D442" s="35"/>
      <c r="E442" s="35"/>
      <c r="F442" s="268"/>
    </row>
    <row r="443" spans="1:6" x14ac:dyDescent="0.25">
      <c r="A443" s="35"/>
      <c r="C443" s="35"/>
      <c r="D443" s="35"/>
      <c r="E443" s="35"/>
      <c r="F443" s="268"/>
    </row>
    <row r="444" spans="1:6" x14ac:dyDescent="0.25">
      <c r="A444" s="35"/>
      <c r="C444" s="35"/>
      <c r="D444" s="35"/>
      <c r="E444" s="35"/>
      <c r="F444" s="268"/>
    </row>
    <row r="445" spans="1:6" x14ac:dyDescent="0.25">
      <c r="A445" s="35"/>
      <c r="C445" s="35"/>
      <c r="D445" s="35"/>
      <c r="E445" s="35"/>
      <c r="F445" s="268"/>
    </row>
    <row r="446" spans="1:6" x14ac:dyDescent="0.25">
      <c r="A446" s="35"/>
      <c r="C446" s="35"/>
      <c r="D446" s="35"/>
      <c r="E446" s="35"/>
      <c r="F446" s="268"/>
    </row>
    <row r="447" spans="1:6" x14ac:dyDescent="0.25">
      <c r="A447" s="35"/>
      <c r="C447" s="35"/>
      <c r="D447" s="35"/>
      <c r="E447" s="35"/>
      <c r="F447" s="268"/>
    </row>
    <row r="448" spans="1:6" x14ac:dyDescent="0.25">
      <c r="A448" s="35"/>
      <c r="C448" s="35"/>
      <c r="D448" s="35"/>
      <c r="E448" s="35"/>
      <c r="F448" s="268"/>
    </row>
    <row r="449" spans="1:6" x14ac:dyDescent="0.25">
      <c r="A449" s="35"/>
      <c r="C449" s="35"/>
      <c r="D449" s="35"/>
      <c r="E449" s="35"/>
      <c r="F449" s="268"/>
    </row>
    <row r="450" spans="1:6" x14ac:dyDescent="0.25">
      <c r="A450" s="35"/>
      <c r="C450" s="35"/>
      <c r="D450" s="35"/>
      <c r="E450" s="35"/>
      <c r="F450" s="268"/>
    </row>
    <row r="451" spans="1:6" x14ac:dyDescent="0.25">
      <c r="A451" s="35"/>
      <c r="C451" s="35"/>
      <c r="D451" s="35"/>
      <c r="E451" s="35"/>
      <c r="F451" s="268"/>
    </row>
    <row r="452" spans="1:6" x14ac:dyDescent="0.25">
      <c r="A452" s="35"/>
      <c r="C452" s="35"/>
      <c r="D452" s="35"/>
      <c r="E452" s="35"/>
      <c r="F452" s="268"/>
    </row>
    <row r="453" spans="1:6" x14ac:dyDescent="0.25">
      <c r="A453" s="35"/>
      <c r="C453" s="35"/>
      <c r="D453" s="35"/>
      <c r="E453" s="35"/>
      <c r="F453" s="268"/>
    </row>
    <row r="454" spans="1:6" x14ac:dyDescent="0.25">
      <c r="A454" s="35"/>
      <c r="C454" s="35"/>
      <c r="D454" s="35"/>
      <c r="E454" s="35"/>
      <c r="F454" s="268"/>
    </row>
    <row r="455" spans="1:6" x14ac:dyDescent="0.25">
      <c r="A455" s="35"/>
      <c r="C455" s="35"/>
      <c r="D455" s="35"/>
      <c r="E455" s="35"/>
      <c r="F455" s="268"/>
    </row>
    <row r="456" spans="1:6" x14ac:dyDescent="0.25">
      <c r="A456" s="35"/>
      <c r="C456" s="35"/>
      <c r="D456" s="35"/>
      <c r="E456" s="35"/>
      <c r="F456" s="268"/>
    </row>
    <row r="457" spans="1:6" x14ac:dyDescent="0.25">
      <c r="A457" s="35"/>
      <c r="C457" s="35"/>
      <c r="D457" s="35"/>
      <c r="E457" s="35"/>
      <c r="F457" s="268"/>
    </row>
    <row r="458" spans="1:6" x14ac:dyDescent="0.25">
      <c r="A458" s="35"/>
      <c r="C458" s="35"/>
      <c r="D458" s="35"/>
      <c r="E458" s="35"/>
      <c r="F458" s="268"/>
    </row>
    <row r="459" spans="1:6" x14ac:dyDescent="0.25">
      <c r="A459" s="35"/>
      <c r="C459" s="35"/>
      <c r="D459" s="35"/>
      <c r="E459" s="35"/>
      <c r="F459" s="268"/>
    </row>
    <row r="460" spans="1:6" x14ac:dyDescent="0.25">
      <c r="A460" s="35"/>
      <c r="C460" s="35"/>
      <c r="D460" s="35"/>
      <c r="E460" s="35"/>
      <c r="F460" s="268"/>
    </row>
    <row r="461" spans="1:6" x14ac:dyDescent="0.25">
      <c r="A461" s="35"/>
      <c r="C461" s="35"/>
      <c r="D461" s="35"/>
      <c r="E461" s="35"/>
      <c r="F461" s="268"/>
    </row>
    <row r="462" spans="1:6" x14ac:dyDescent="0.25">
      <c r="A462" s="35"/>
      <c r="C462" s="35"/>
      <c r="D462" s="35"/>
      <c r="E462" s="35"/>
      <c r="F462" s="268"/>
    </row>
    <row r="463" spans="1:6" x14ac:dyDescent="0.25">
      <c r="A463" s="35"/>
      <c r="C463" s="35"/>
      <c r="D463" s="35"/>
      <c r="E463" s="35"/>
      <c r="F463" s="268"/>
    </row>
    <row r="464" spans="1:6" x14ac:dyDescent="0.25">
      <c r="A464" s="35"/>
      <c r="C464" s="35"/>
      <c r="D464" s="35"/>
      <c r="E464" s="35"/>
      <c r="F464" s="268"/>
    </row>
    <row r="465" spans="1:6" x14ac:dyDescent="0.25">
      <c r="A465" s="35"/>
      <c r="C465" s="35"/>
      <c r="D465" s="35"/>
      <c r="E465" s="35"/>
      <c r="F465" s="268"/>
    </row>
    <row r="466" spans="1:6" x14ac:dyDescent="0.25">
      <c r="A466" s="35"/>
      <c r="C466" s="35"/>
      <c r="D466" s="35"/>
      <c r="E466" s="35"/>
      <c r="F466" s="268"/>
    </row>
    <row r="467" spans="1:6" x14ac:dyDescent="0.25">
      <c r="A467" s="35"/>
      <c r="C467" s="35"/>
      <c r="D467" s="35"/>
      <c r="E467" s="35"/>
      <c r="F467" s="268"/>
    </row>
    <row r="468" spans="1:6" x14ac:dyDescent="0.25">
      <c r="A468" s="35"/>
      <c r="C468" s="35"/>
      <c r="D468" s="35"/>
      <c r="E468" s="35"/>
      <c r="F468" s="268"/>
    </row>
    <row r="469" spans="1:6" x14ac:dyDescent="0.25">
      <c r="A469" s="35"/>
      <c r="C469" s="35"/>
      <c r="D469" s="35"/>
      <c r="E469" s="35"/>
      <c r="F469" s="268"/>
    </row>
    <row r="470" spans="1:6" x14ac:dyDescent="0.25">
      <c r="A470" s="35"/>
      <c r="C470" s="35"/>
      <c r="D470" s="35"/>
      <c r="E470" s="35"/>
      <c r="F470" s="268"/>
    </row>
    <row r="471" spans="1:6" x14ac:dyDescent="0.25">
      <c r="A471" s="35"/>
      <c r="C471" s="35"/>
      <c r="D471" s="35"/>
      <c r="E471" s="35"/>
      <c r="F471" s="268"/>
    </row>
    <row r="472" spans="1:6" x14ac:dyDescent="0.25">
      <c r="A472" s="35"/>
      <c r="C472" s="35"/>
      <c r="D472" s="35"/>
      <c r="E472" s="35"/>
      <c r="F472" s="268"/>
    </row>
    <row r="473" spans="1:6" x14ac:dyDescent="0.25">
      <c r="A473" s="35"/>
      <c r="C473" s="35"/>
      <c r="D473" s="35"/>
      <c r="E473" s="35"/>
      <c r="F473" s="268"/>
    </row>
    <row r="474" spans="1:6" x14ac:dyDescent="0.25">
      <c r="A474" s="35"/>
      <c r="C474" s="35"/>
      <c r="D474" s="35"/>
      <c r="E474" s="35"/>
      <c r="F474" s="268"/>
    </row>
    <row r="475" spans="1:6" x14ac:dyDescent="0.25">
      <c r="A475" s="35"/>
      <c r="C475" s="35"/>
      <c r="D475" s="35"/>
      <c r="E475" s="35"/>
      <c r="F475" s="268"/>
    </row>
    <row r="476" spans="1:6" x14ac:dyDescent="0.25">
      <c r="A476" s="35"/>
      <c r="C476" s="35"/>
      <c r="D476" s="35"/>
      <c r="E476" s="35"/>
      <c r="F476" s="268"/>
    </row>
    <row r="477" spans="1:6" x14ac:dyDescent="0.25">
      <c r="A477" s="35"/>
      <c r="C477" s="35"/>
      <c r="D477" s="35"/>
      <c r="E477" s="35"/>
      <c r="F477" s="268"/>
    </row>
    <row r="478" spans="1:6" x14ac:dyDescent="0.25">
      <c r="A478" s="35"/>
      <c r="C478" s="35"/>
      <c r="D478" s="35"/>
      <c r="E478" s="35"/>
      <c r="F478" s="268"/>
    </row>
    <row r="479" spans="1:6" x14ac:dyDescent="0.25">
      <c r="A479" s="35"/>
      <c r="C479" s="35"/>
      <c r="D479" s="35"/>
      <c r="E479" s="35"/>
      <c r="F479" s="268"/>
    </row>
    <row r="480" spans="1:6" x14ac:dyDescent="0.25">
      <c r="A480" s="35"/>
      <c r="C480" s="35"/>
      <c r="D480" s="35"/>
      <c r="E480" s="35"/>
      <c r="F480" s="268"/>
    </row>
    <row r="481" spans="1:6" x14ac:dyDescent="0.25">
      <c r="A481" s="35"/>
      <c r="C481" s="35"/>
      <c r="D481" s="35"/>
      <c r="E481" s="35"/>
      <c r="F481" s="268"/>
    </row>
    <row r="482" spans="1:6" x14ac:dyDescent="0.25">
      <c r="A482" s="35"/>
      <c r="C482" s="35"/>
      <c r="D482" s="35"/>
      <c r="E482" s="35"/>
      <c r="F482" s="268"/>
    </row>
    <row r="483" spans="1:6" x14ac:dyDescent="0.25">
      <c r="A483" s="35"/>
      <c r="C483" s="35"/>
      <c r="D483" s="35"/>
      <c r="E483" s="35"/>
      <c r="F483" s="268"/>
    </row>
    <row r="484" spans="1:6" x14ac:dyDescent="0.25">
      <c r="A484" s="35"/>
      <c r="C484" s="35"/>
      <c r="D484" s="35"/>
      <c r="E484" s="35"/>
      <c r="F484" s="268"/>
    </row>
    <row r="485" spans="1:6" x14ac:dyDescent="0.25">
      <c r="A485" s="35"/>
      <c r="C485" s="35"/>
      <c r="D485" s="35"/>
      <c r="E485" s="35"/>
      <c r="F485" s="268"/>
    </row>
    <row r="486" spans="1:6" x14ac:dyDescent="0.25">
      <c r="A486" s="35"/>
      <c r="C486" s="35"/>
      <c r="D486" s="35"/>
      <c r="E486" s="35"/>
      <c r="F486" s="268"/>
    </row>
    <row r="487" spans="1:6" x14ac:dyDescent="0.25">
      <c r="A487" s="35"/>
      <c r="C487" s="35"/>
      <c r="D487" s="35"/>
      <c r="E487" s="35"/>
      <c r="F487" s="268"/>
    </row>
    <row r="488" spans="1:6" x14ac:dyDescent="0.25">
      <c r="A488" s="35"/>
      <c r="C488" s="35"/>
      <c r="D488" s="35"/>
      <c r="E488" s="35"/>
      <c r="F488" s="268"/>
    </row>
    <row r="489" spans="1:6" x14ac:dyDescent="0.25">
      <c r="A489" s="35"/>
      <c r="C489" s="35"/>
      <c r="D489" s="35"/>
      <c r="E489" s="35"/>
      <c r="F489" s="268"/>
    </row>
    <row r="490" spans="1:6" x14ac:dyDescent="0.25">
      <c r="A490" s="35"/>
      <c r="C490" s="35"/>
      <c r="D490" s="35"/>
      <c r="E490" s="35"/>
      <c r="F490" s="268"/>
    </row>
    <row r="491" spans="1:6" x14ac:dyDescent="0.25">
      <c r="A491" s="35"/>
      <c r="C491" s="35"/>
      <c r="D491" s="35"/>
      <c r="E491" s="35"/>
      <c r="F491" s="268"/>
    </row>
    <row r="492" spans="1:6" x14ac:dyDescent="0.25">
      <c r="A492" s="35"/>
      <c r="C492" s="35"/>
      <c r="D492" s="35"/>
      <c r="E492" s="35"/>
      <c r="F492" s="268"/>
    </row>
    <row r="493" spans="1:6" x14ac:dyDescent="0.25">
      <c r="A493" s="35"/>
      <c r="C493" s="35"/>
      <c r="D493" s="35"/>
      <c r="E493" s="35"/>
      <c r="F493" s="268"/>
    </row>
    <row r="494" spans="1:6" x14ac:dyDescent="0.25">
      <c r="A494" s="35"/>
      <c r="C494" s="35"/>
      <c r="D494" s="35"/>
      <c r="E494" s="35"/>
      <c r="F494" s="268"/>
    </row>
    <row r="495" spans="1:6" x14ac:dyDescent="0.25">
      <c r="A495" s="35"/>
      <c r="C495" s="35"/>
      <c r="D495" s="35"/>
      <c r="E495" s="35"/>
      <c r="F495" s="268"/>
    </row>
    <row r="496" spans="1:6" x14ac:dyDescent="0.25">
      <c r="A496" s="35"/>
      <c r="C496" s="35"/>
      <c r="D496" s="35"/>
      <c r="E496" s="35"/>
      <c r="F496" s="268"/>
    </row>
    <row r="497" spans="1:6" x14ac:dyDescent="0.25">
      <c r="A497" s="35"/>
      <c r="C497" s="35"/>
      <c r="D497" s="35"/>
      <c r="E497" s="35"/>
      <c r="F497" s="268"/>
    </row>
    <row r="498" spans="1:6" x14ac:dyDescent="0.25">
      <c r="A498" s="35"/>
      <c r="C498" s="35"/>
      <c r="D498" s="35"/>
      <c r="E498" s="35"/>
      <c r="F498" s="268"/>
    </row>
    <row r="499" spans="1:6" x14ac:dyDescent="0.25">
      <c r="A499" s="35"/>
      <c r="C499" s="35"/>
      <c r="D499" s="35"/>
      <c r="E499" s="35"/>
      <c r="F499" s="268"/>
    </row>
    <row r="500" spans="1:6" x14ac:dyDescent="0.25">
      <c r="A500" s="35"/>
      <c r="C500" s="35"/>
      <c r="D500" s="35"/>
      <c r="E500" s="35"/>
      <c r="F500" s="268"/>
    </row>
    <row r="501" spans="1:6" x14ac:dyDescent="0.25">
      <c r="A501" s="35"/>
      <c r="C501" s="35"/>
      <c r="D501" s="35"/>
      <c r="E501" s="35"/>
      <c r="F501" s="268"/>
    </row>
    <row r="502" spans="1:6" x14ac:dyDescent="0.25">
      <c r="A502" s="35"/>
      <c r="C502" s="35"/>
      <c r="D502" s="35"/>
      <c r="E502" s="35"/>
      <c r="F502" s="268"/>
    </row>
    <row r="503" spans="1:6" x14ac:dyDescent="0.25">
      <c r="A503" s="35"/>
      <c r="C503" s="35"/>
      <c r="D503" s="35"/>
      <c r="E503" s="35"/>
      <c r="F503" s="268"/>
    </row>
    <row r="504" spans="1:6" x14ac:dyDescent="0.25">
      <c r="A504" s="35"/>
      <c r="C504" s="35"/>
      <c r="D504" s="35"/>
      <c r="E504" s="35"/>
      <c r="F504" s="268"/>
    </row>
    <row r="505" spans="1:6" x14ac:dyDescent="0.25">
      <c r="A505" s="35"/>
      <c r="C505" s="35"/>
      <c r="D505" s="35"/>
      <c r="E505" s="35"/>
      <c r="F505" s="268"/>
    </row>
    <row r="506" spans="1:6" x14ac:dyDescent="0.25">
      <c r="A506" s="35"/>
      <c r="C506" s="35"/>
      <c r="D506" s="35"/>
      <c r="E506" s="35"/>
      <c r="F506" s="268"/>
    </row>
    <row r="507" spans="1:6" x14ac:dyDescent="0.25">
      <c r="A507" s="35"/>
      <c r="C507" s="35"/>
      <c r="D507" s="35"/>
      <c r="E507" s="35"/>
      <c r="F507" s="268"/>
    </row>
    <row r="508" spans="1:6" x14ac:dyDescent="0.25">
      <c r="A508" s="35"/>
      <c r="C508" s="35"/>
      <c r="D508" s="35"/>
      <c r="E508" s="35"/>
      <c r="F508" s="268"/>
    </row>
    <row r="509" spans="1:6" x14ac:dyDescent="0.25">
      <c r="A509" s="35"/>
      <c r="C509" s="35"/>
      <c r="D509" s="35"/>
      <c r="E509" s="35"/>
      <c r="F509" s="268"/>
    </row>
    <row r="510" spans="1:6" x14ac:dyDescent="0.25">
      <c r="A510" s="35"/>
      <c r="C510" s="35"/>
      <c r="D510" s="35"/>
      <c r="E510" s="35"/>
      <c r="F510" s="268"/>
    </row>
    <row r="511" spans="1:6" x14ac:dyDescent="0.25">
      <c r="A511" s="35"/>
      <c r="C511" s="35"/>
      <c r="D511" s="35"/>
      <c r="E511" s="35"/>
      <c r="F511" s="268"/>
    </row>
    <row r="512" spans="1:6" x14ac:dyDescent="0.25">
      <c r="A512" s="35"/>
      <c r="C512" s="35"/>
      <c r="D512" s="35"/>
      <c r="E512" s="35"/>
      <c r="F512" s="268"/>
    </row>
    <row r="513" spans="1:6" x14ac:dyDescent="0.25">
      <c r="A513" s="35"/>
      <c r="C513" s="35"/>
      <c r="D513" s="35"/>
      <c r="E513" s="35"/>
      <c r="F513" s="268"/>
    </row>
    <row r="514" spans="1:6" x14ac:dyDescent="0.25">
      <c r="A514" s="35"/>
      <c r="C514" s="35"/>
      <c r="D514" s="35"/>
      <c r="E514" s="35"/>
      <c r="F514" s="268"/>
    </row>
    <row r="515" spans="1:6" x14ac:dyDescent="0.25">
      <c r="A515" s="35"/>
      <c r="C515" s="35"/>
      <c r="D515" s="35"/>
      <c r="E515" s="35"/>
      <c r="F515" s="268"/>
    </row>
    <row r="516" spans="1:6" x14ac:dyDescent="0.25">
      <c r="A516" s="35"/>
      <c r="C516" s="35"/>
      <c r="D516" s="35"/>
      <c r="E516" s="35"/>
      <c r="F516" s="268"/>
    </row>
    <row r="517" spans="1:6" x14ac:dyDescent="0.25">
      <c r="A517" s="35"/>
      <c r="C517" s="35"/>
      <c r="D517" s="35"/>
      <c r="E517" s="35"/>
      <c r="F517" s="268"/>
    </row>
    <row r="518" spans="1:6" x14ac:dyDescent="0.25">
      <c r="A518" s="35"/>
      <c r="C518" s="35"/>
      <c r="D518" s="35"/>
      <c r="E518" s="35"/>
      <c r="F518" s="268"/>
    </row>
    <row r="519" spans="1:6" x14ac:dyDescent="0.25">
      <c r="A519" s="35"/>
      <c r="C519" s="35"/>
      <c r="D519" s="35"/>
      <c r="E519" s="35"/>
      <c r="F519" s="268"/>
    </row>
    <row r="520" spans="1:6" x14ac:dyDescent="0.25">
      <c r="A520" s="35"/>
      <c r="C520" s="35"/>
      <c r="D520" s="35"/>
      <c r="E520" s="35"/>
      <c r="F520" s="268"/>
    </row>
    <row r="521" spans="1:6" x14ac:dyDescent="0.25">
      <c r="A521" s="35"/>
      <c r="C521" s="35"/>
      <c r="D521" s="35"/>
      <c r="E521" s="35"/>
      <c r="F521" s="268"/>
    </row>
    <row r="522" spans="1:6" x14ac:dyDescent="0.25">
      <c r="A522" s="35"/>
      <c r="C522" s="35"/>
      <c r="D522" s="35"/>
      <c r="E522" s="35"/>
      <c r="F522" s="268"/>
    </row>
    <row r="523" spans="1:6" x14ac:dyDescent="0.25">
      <c r="A523" s="35"/>
      <c r="C523" s="35"/>
      <c r="D523" s="35"/>
      <c r="E523" s="35"/>
      <c r="F523" s="268"/>
    </row>
    <row r="524" spans="1:6" x14ac:dyDescent="0.25">
      <c r="A524" s="35"/>
      <c r="C524" s="35"/>
      <c r="D524" s="35"/>
      <c r="E524" s="35"/>
      <c r="F524" s="268"/>
    </row>
    <row r="525" spans="1:6" x14ac:dyDescent="0.25">
      <c r="A525" s="35"/>
      <c r="C525" s="35"/>
      <c r="D525" s="35"/>
      <c r="E525" s="35"/>
      <c r="F525" s="268"/>
    </row>
    <row r="526" spans="1:6" x14ac:dyDescent="0.25">
      <c r="A526" s="35"/>
      <c r="C526" s="35"/>
      <c r="D526" s="35"/>
      <c r="E526" s="35"/>
      <c r="F526" s="268"/>
    </row>
    <row r="527" spans="1:6" x14ac:dyDescent="0.25">
      <c r="A527" s="35"/>
      <c r="C527" s="35"/>
      <c r="D527" s="35"/>
      <c r="E527" s="35"/>
      <c r="F527" s="268"/>
    </row>
    <row r="528" spans="1:6" x14ac:dyDescent="0.25">
      <c r="A528" s="35"/>
      <c r="C528" s="35"/>
      <c r="D528" s="35"/>
      <c r="E528" s="35"/>
      <c r="F528" s="268"/>
    </row>
    <row r="529" spans="1:6" x14ac:dyDescent="0.25">
      <c r="A529" s="35"/>
      <c r="C529" s="35"/>
      <c r="D529" s="35"/>
      <c r="E529" s="35"/>
      <c r="F529" s="268"/>
    </row>
    <row r="530" spans="1:6" x14ac:dyDescent="0.25">
      <c r="A530" s="35"/>
      <c r="C530" s="35"/>
      <c r="D530" s="35"/>
      <c r="E530" s="35"/>
      <c r="F530" s="268"/>
    </row>
    <row r="531" spans="1:6" x14ac:dyDescent="0.25">
      <c r="A531" s="35"/>
      <c r="C531" s="35"/>
      <c r="D531" s="35"/>
      <c r="E531" s="35"/>
      <c r="F531" s="268"/>
    </row>
    <row r="532" spans="1:6" x14ac:dyDescent="0.25">
      <c r="A532" s="35"/>
      <c r="C532" s="35"/>
      <c r="D532" s="35"/>
      <c r="E532" s="35"/>
      <c r="F532" s="268"/>
    </row>
    <row r="533" spans="1:6" x14ac:dyDescent="0.25">
      <c r="A533" s="35"/>
      <c r="C533" s="35"/>
      <c r="D533" s="35"/>
      <c r="E533" s="35"/>
      <c r="F533" s="268"/>
    </row>
    <row r="534" spans="1:6" x14ac:dyDescent="0.25">
      <c r="A534" s="35"/>
      <c r="C534" s="35"/>
      <c r="D534" s="35"/>
      <c r="E534" s="35"/>
      <c r="F534" s="268"/>
    </row>
    <row r="535" spans="1:6" x14ac:dyDescent="0.25">
      <c r="A535" s="35"/>
      <c r="C535" s="35"/>
      <c r="D535" s="35"/>
      <c r="E535" s="35"/>
      <c r="F535" s="268"/>
    </row>
    <row r="536" spans="1:6" x14ac:dyDescent="0.25">
      <c r="A536" s="35"/>
      <c r="C536" s="35"/>
      <c r="D536" s="35"/>
      <c r="E536" s="35"/>
      <c r="F536" s="268"/>
    </row>
    <row r="537" spans="1:6" x14ac:dyDescent="0.25">
      <c r="A537" s="35"/>
      <c r="C537" s="35"/>
      <c r="D537" s="35"/>
      <c r="E537" s="35"/>
      <c r="F537" s="268"/>
    </row>
    <row r="538" spans="1:6" x14ac:dyDescent="0.25">
      <c r="A538" s="35"/>
      <c r="C538" s="35"/>
      <c r="D538" s="35"/>
      <c r="E538" s="35"/>
      <c r="F538" s="268"/>
    </row>
    <row r="539" spans="1:6" x14ac:dyDescent="0.25">
      <c r="A539" s="35"/>
      <c r="C539" s="35"/>
      <c r="D539" s="35"/>
      <c r="E539" s="35"/>
      <c r="F539" s="268"/>
    </row>
    <row r="540" spans="1:6" x14ac:dyDescent="0.25">
      <c r="A540" s="35"/>
      <c r="C540" s="35"/>
      <c r="D540" s="35"/>
      <c r="E540" s="35"/>
      <c r="F540" s="268"/>
    </row>
    <row r="541" spans="1:6" x14ac:dyDescent="0.25">
      <c r="A541" s="35"/>
      <c r="C541" s="35"/>
      <c r="D541" s="35"/>
      <c r="E541" s="35"/>
      <c r="F541" s="268"/>
    </row>
    <row r="542" spans="1:6" x14ac:dyDescent="0.25">
      <c r="A542" s="35"/>
      <c r="C542" s="35"/>
      <c r="D542" s="35"/>
      <c r="E542" s="35"/>
      <c r="F542" s="268"/>
    </row>
    <row r="543" spans="1:6" x14ac:dyDescent="0.25">
      <c r="A543" s="35"/>
      <c r="C543" s="35"/>
      <c r="D543" s="35"/>
      <c r="E543" s="35"/>
      <c r="F543" s="268"/>
    </row>
    <row r="544" spans="1:6" x14ac:dyDescent="0.25">
      <c r="A544" s="35"/>
      <c r="C544" s="35"/>
      <c r="D544" s="35"/>
      <c r="E544" s="35"/>
      <c r="F544" s="268"/>
    </row>
    <row r="545" spans="1:6" x14ac:dyDescent="0.25">
      <c r="A545" s="35"/>
      <c r="C545" s="35"/>
      <c r="D545" s="35"/>
      <c r="E545" s="35"/>
      <c r="F545" s="268"/>
    </row>
    <row r="546" spans="1:6" x14ac:dyDescent="0.25">
      <c r="A546" s="35"/>
      <c r="C546" s="35"/>
      <c r="D546" s="35"/>
      <c r="E546" s="35"/>
      <c r="F546" s="268"/>
    </row>
    <row r="547" spans="1:6" x14ac:dyDescent="0.25">
      <c r="A547" s="35"/>
      <c r="C547" s="35"/>
      <c r="D547" s="35"/>
      <c r="E547" s="35"/>
      <c r="F547" s="268"/>
    </row>
    <row r="548" spans="1:6" x14ac:dyDescent="0.25">
      <c r="A548" s="35"/>
      <c r="C548" s="35"/>
      <c r="D548" s="35"/>
      <c r="E548" s="35"/>
      <c r="F548" s="268"/>
    </row>
    <row r="549" spans="1:6" x14ac:dyDescent="0.25">
      <c r="A549" s="35"/>
      <c r="C549" s="35"/>
      <c r="D549" s="35"/>
      <c r="E549" s="35"/>
      <c r="F549" s="268"/>
    </row>
    <row r="550" spans="1:6" x14ac:dyDescent="0.25">
      <c r="A550" s="35"/>
      <c r="C550" s="35"/>
      <c r="D550" s="35"/>
      <c r="E550" s="35"/>
      <c r="F550" s="268"/>
    </row>
    <row r="551" spans="1:6" x14ac:dyDescent="0.25">
      <c r="A551" s="35"/>
      <c r="C551" s="35"/>
      <c r="D551" s="35"/>
      <c r="E551" s="35"/>
      <c r="F551" s="268"/>
    </row>
    <row r="552" spans="1:6" x14ac:dyDescent="0.25">
      <c r="A552" s="35"/>
      <c r="C552" s="35"/>
      <c r="D552" s="35"/>
      <c r="E552" s="35"/>
      <c r="F552" s="268"/>
    </row>
    <row r="553" spans="1:6" x14ac:dyDescent="0.25">
      <c r="A553" s="35"/>
      <c r="C553" s="35"/>
      <c r="D553" s="35"/>
      <c r="E553" s="35"/>
      <c r="F553" s="268"/>
    </row>
    <row r="554" spans="1:6" x14ac:dyDescent="0.25">
      <c r="A554" s="35"/>
      <c r="C554" s="35"/>
      <c r="D554" s="35"/>
      <c r="E554" s="35"/>
      <c r="F554" s="268"/>
    </row>
    <row r="555" spans="1:6" x14ac:dyDescent="0.25">
      <c r="A555" s="35"/>
      <c r="C555" s="35"/>
      <c r="D555" s="35"/>
      <c r="E555" s="35"/>
      <c r="F555" s="268"/>
    </row>
    <row r="556" spans="1:6" x14ac:dyDescent="0.25">
      <c r="A556" s="35"/>
      <c r="C556" s="35"/>
      <c r="D556" s="35"/>
      <c r="E556" s="35"/>
      <c r="F556" s="268"/>
    </row>
    <row r="557" spans="1:6" x14ac:dyDescent="0.25">
      <c r="A557" s="35"/>
      <c r="C557" s="35"/>
      <c r="D557" s="35"/>
      <c r="E557" s="35"/>
      <c r="F557" s="268"/>
    </row>
    <row r="558" spans="1:6" x14ac:dyDescent="0.25">
      <c r="A558" s="35"/>
      <c r="C558" s="35"/>
      <c r="D558" s="35"/>
      <c r="E558" s="35"/>
      <c r="F558" s="268"/>
    </row>
    <row r="559" spans="1:6" x14ac:dyDescent="0.25">
      <c r="A559" s="35"/>
      <c r="C559" s="35"/>
      <c r="D559" s="35"/>
      <c r="E559" s="35"/>
      <c r="F559" s="268"/>
    </row>
    <row r="560" spans="1:6" x14ac:dyDescent="0.25">
      <c r="A560" s="35"/>
      <c r="C560" s="35"/>
      <c r="D560" s="35"/>
      <c r="E560" s="35"/>
      <c r="F560" s="268"/>
    </row>
    <row r="561" spans="1:6" x14ac:dyDescent="0.25">
      <c r="A561" s="35"/>
      <c r="C561" s="35"/>
      <c r="D561" s="35"/>
      <c r="E561" s="35"/>
      <c r="F561" s="268"/>
    </row>
    <row r="562" spans="1:6" x14ac:dyDescent="0.25">
      <c r="A562" s="35"/>
      <c r="C562" s="35"/>
      <c r="D562" s="35"/>
      <c r="E562" s="35"/>
      <c r="F562" s="268"/>
    </row>
    <row r="563" spans="1:6" x14ac:dyDescent="0.25">
      <c r="A563" s="35"/>
      <c r="C563" s="35"/>
      <c r="D563" s="35"/>
      <c r="E563" s="35"/>
      <c r="F563" s="268"/>
    </row>
    <row r="564" spans="1:6" x14ac:dyDescent="0.25">
      <c r="A564" s="35"/>
      <c r="C564" s="35"/>
      <c r="D564" s="35"/>
      <c r="E564" s="35"/>
      <c r="F564" s="268"/>
    </row>
    <row r="565" spans="1:6" x14ac:dyDescent="0.25">
      <c r="A565" s="35"/>
      <c r="C565" s="35"/>
      <c r="D565" s="35"/>
      <c r="E565" s="35"/>
      <c r="F565" s="268"/>
    </row>
    <row r="566" spans="1:6" x14ac:dyDescent="0.25">
      <c r="A566" s="35"/>
      <c r="C566" s="35"/>
      <c r="D566" s="35"/>
      <c r="E566" s="35"/>
      <c r="F566" s="268"/>
    </row>
    <row r="567" spans="1:6" x14ac:dyDescent="0.25">
      <c r="A567" s="35"/>
      <c r="C567" s="35"/>
      <c r="D567" s="35"/>
      <c r="E567" s="35"/>
      <c r="F567" s="268"/>
    </row>
    <row r="568" spans="1:6" x14ac:dyDescent="0.25">
      <c r="A568" s="35"/>
      <c r="C568" s="35"/>
      <c r="D568" s="35"/>
      <c r="E568" s="35"/>
      <c r="F568" s="268"/>
    </row>
    <row r="569" spans="1:6" x14ac:dyDescent="0.25">
      <c r="A569" s="35"/>
      <c r="C569" s="35"/>
      <c r="D569" s="35"/>
      <c r="E569" s="35"/>
      <c r="F569" s="268"/>
    </row>
    <row r="570" spans="1:6" x14ac:dyDescent="0.25">
      <c r="A570" s="35"/>
      <c r="C570" s="35"/>
      <c r="D570" s="35"/>
      <c r="E570" s="35"/>
      <c r="F570" s="268"/>
    </row>
    <row r="571" spans="1:6" x14ac:dyDescent="0.25">
      <c r="A571" s="35"/>
      <c r="C571" s="35"/>
      <c r="D571" s="35"/>
      <c r="E571" s="35"/>
      <c r="F571" s="268"/>
    </row>
    <row r="572" spans="1:6" x14ac:dyDescent="0.25">
      <c r="A572" s="35"/>
      <c r="C572" s="35"/>
      <c r="D572" s="35"/>
      <c r="E572" s="35"/>
      <c r="F572" s="268"/>
    </row>
    <row r="573" spans="1:6" x14ac:dyDescent="0.25">
      <c r="A573" s="35"/>
      <c r="C573" s="35"/>
      <c r="D573" s="35"/>
      <c r="E573" s="35"/>
      <c r="F573" s="268"/>
    </row>
    <row r="574" spans="1:6" x14ac:dyDescent="0.25">
      <c r="A574" s="35"/>
      <c r="C574" s="35"/>
      <c r="D574" s="35"/>
      <c r="E574" s="35"/>
      <c r="F574" s="268"/>
    </row>
    <row r="575" spans="1:6" x14ac:dyDescent="0.25">
      <c r="A575" s="35"/>
      <c r="C575" s="35"/>
      <c r="D575" s="35"/>
      <c r="E575" s="35"/>
      <c r="F575" s="268"/>
    </row>
    <row r="576" spans="1:6" x14ac:dyDescent="0.25">
      <c r="A576" s="35"/>
      <c r="C576" s="35"/>
      <c r="D576" s="35"/>
      <c r="E576" s="35"/>
      <c r="F576" s="268"/>
    </row>
    <row r="577" spans="1:6" x14ac:dyDescent="0.25">
      <c r="A577" s="35"/>
      <c r="C577" s="35"/>
      <c r="D577" s="35"/>
      <c r="E577" s="35"/>
      <c r="F577" s="268"/>
    </row>
    <row r="578" spans="1:6" x14ac:dyDescent="0.25">
      <c r="A578" s="35"/>
      <c r="C578" s="35"/>
      <c r="D578" s="35"/>
      <c r="E578" s="35"/>
      <c r="F578" s="268"/>
    </row>
    <row r="579" spans="1:6" x14ac:dyDescent="0.25">
      <c r="A579" s="35"/>
      <c r="C579" s="35"/>
      <c r="D579" s="35"/>
      <c r="E579" s="35"/>
      <c r="F579" s="268"/>
    </row>
    <row r="580" spans="1:6" x14ac:dyDescent="0.25">
      <c r="A580" s="35"/>
      <c r="C580" s="35"/>
      <c r="D580" s="35"/>
      <c r="E580" s="35"/>
      <c r="F580" s="268"/>
    </row>
    <row r="581" spans="1:6" x14ac:dyDescent="0.25">
      <c r="A581" s="35"/>
      <c r="C581" s="35"/>
      <c r="D581" s="35"/>
      <c r="E581" s="35"/>
      <c r="F581" s="268"/>
    </row>
    <row r="582" spans="1:6" x14ac:dyDescent="0.25">
      <c r="A582" s="35"/>
      <c r="C582" s="35"/>
      <c r="D582" s="35"/>
      <c r="E582" s="35"/>
      <c r="F582" s="268"/>
    </row>
    <row r="583" spans="1:6" x14ac:dyDescent="0.25">
      <c r="A583" s="35"/>
      <c r="C583" s="35"/>
      <c r="D583" s="35"/>
      <c r="E583" s="35"/>
      <c r="F583" s="268"/>
    </row>
    <row r="584" spans="1:6" x14ac:dyDescent="0.25">
      <c r="A584" s="35"/>
      <c r="C584" s="35"/>
      <c r="D584" s="35"/>
      <c r="E584" s="35"/>
      <c r="F584" s="268"/>
    </row>
    <row r="585" spans="1:6" x14ac:dyDescent="0.25">
      <c r="A585" s="35"/>
      <c r="C585" s="35"/>
      <c r="D585" s="35"/>
      <c r="E585" s="35"/>
      <c r="F585" s="268"/>
    </row>
    <row r="586" spans="1:6" x14ac:dyDescent="0.25">
      <c r="A586" s="35"/>
      <c r="C586" s="35"/>
      <c r="D586" s="35"/>
      <c r="E586" s="35"/>
      <c r="F586" s="268"/>
    </row>
    <row r="587" spans="1:6" x14ac:dyDescent="0.25">
      <c r="A587" s="35"/>
      <c r="C587" s="35"/>
      <c r="D587" s="35"/>
      <c r="E587" s="35"/>
      <c r="F587" s="268"/>
    </row>
    <row r="588" spans="1:6" x14ac:dyDescent="0.25">
      <c r="A588" s="35"/>
      <c r="C588" s="35"/>
      <c r="D588" s="35"/>
      <c r="E588" s="35"/>
      <c r="F588" s="268"/>
    </row>
    <row r="589" spans="1:6" x14ac:dyDescent="0.25">
      <c r="A589" s="35"/>
      <c r="C589" s="35"/>
      <c r="D589" s="35"/>
      <c r="E589" s="35"/>
      <c r="F589" s="268"/>
    </row>
    <row r="590" spans="1:6" x14ac:dyDescent="0.25">
      <c r="A590" s="35"/>
      <c r="C590" s="35"/>
      <c r="D590" s="35"/>
      <c r="E590" s="35"/>
      <c r="F590" s="268"/>
    </row>
    <row r="591" spans="1:6" x14ac:dyDescent="0.25">
      <c r="A591" s="35"/>
      <c r="C591" s="35"/>
      <c r="D591" s="35"/>
      <c r="E591" s="35"/>
      <c r="F591" s="268"/>
    </row>
    <row r="592" spans="1:6" x14ac:dyDescent="0.25">
      <c r="A592" s="35"/>
      <c r="C592" s="35"/>
      <c r="D592" s="35"/>
      <c r="E592" s="35"/>
      <c r="F592" s="268"/>
    </row>
    <row r="593" spans="1:6" x14ac:dyDescent="0.25">
      <c r="A593" s="35"/>
      <c r="C593" s="35"/>
      <c r="D593" s="35"/>
      <c r="E593" s="35"/>
      <c r="F593" s="268"/>
    </row>
    <row r="594" spans="1:6" x14ac:dyDescent="0.25">
      <c r="A594" s="35"/>
      <c r="C594" s="35"/>
      <c r="D594" s="35"/>
      <c r="E594" s="35"/>
      <c r="F594" s="268"/>
    </row>
    <row r="595" spans="1:6" x14ac:dyDescent="0.25">
      <c r="A595" s="35"/>
      <c r="C595" s="35"/>
      <c r="D595" s="35"/>
      <c r="E595" s="35"/>
      <c r="F595" s="268"/>
    </row>
    <row r="596" spans="1:6" x14ac:dyDescent="0.25">
      <c r="A596" s="35"/>
      <c r="C596" s="35"/>
      <c r="D596" s="35"/>
      <c r="E596" s="35"/>
      <c r="F596" s="268"/>
    </row>
    <row r="597" spans="1:6" x14ac:dyDescent="0.25">
      <c r="A597" s="35"/>
      <c r="C597" s="35"/>
      <c r="D597" s="35"/>
      <c r="E597" s="35"/>
      <c r="F597" s="268"/>
    </row>
    <row r="598" spans="1:6" x14ac:dyDescent="0.25">
      <c r="A598" s="35"/>
      <c r="C598" s="35"/>
      <c r="D598" s="35"/>
      <c r="E598" s="35"/>
      <c r="F598" s="268"/>
    </row>
    <row r="599" spans="1:6" x14ac:dyDescent="0.25">
      <c r="A599" s="35"/>
      <c r="C599" s="35"/>
      <c r="D599" s="35"/>
      <c r="E599" s="35"/>
      <c r="F599" s="268"/>
    </row>
    <row r="600" spans="1:6" x14ac:dyDescent="0.25">
      <c r="A600" s="35"/>
      <c r="C600" s="35"/>
      <c r="D600" s="35"/>
      <c r="E600" s="35"/>
      <c r="F600" s="268"/>
    </row>
    <row r="601" spans="1:6" x14ac:dyDescent="0.25">
      <c r="A601" s="35"/>
      <c r="C601" s="35"/>
      <c r="D601" s="35"/>
      <c r="E601" s="35"/>
      <c r="F601" s="268"/>
    </row>
    <row r="602" spans="1:6" x14ac:dyDescent="0.25">
      <c r="A602" s="35"/>
      <c r="C602" s="35"/>
      <c r="D602" s="35"/>
      <c r="E602" s="35"/>
      <c r="F602" s="268"/>
    </row>
    <row r="603" spans="1:6" x14ac:dyDescent="0.25">
      <c r="A603" s="35"/>
      <c r="C603" s="35"/>
      <c r="D603" s="35"/>
      <c r="E603" s="35"/>
      <c r="F603" s="268"/>
    </row>
    <row r="604" spans="1:6" x14ac:dyDescent="0.25">
      <c r="A604" s="35"/>
      <c r="C604" s="35"/>
      <c r="D604" s="35"/>
      <c r="E604" s="35"/>
      <c r="F604" s="268"/>
    </row>
    <row r="605" spans="1:6" x14ac:dyDescent="0.25">
      <c r="A605" s="35"/>
      <c r="C605" s="35"/>
      <c r="D605" s="35"/>
      <c r="E605" s="35"/>
      <c r="F605" s="268"/>
    </row>
    <row r="606" spans="1:6" x14ac:dyDescent="0.25">
      <c r="A606" s="35"/>
      <c r="C606" s="35"/>
      <c r="D606" s="35"/>
      <c r="E606" s="35"/>
      <c r="F606" s="268"/>
    </row>
    <row r="607" spans="1:6" x14ac:dyDescent="0.25">
      <c r="A607" s="35"/>
      <c r="C607" s="35"/>
      <c r="D607" s="35"/>
      <c r="E607" s="35"/>
      <c r="F607" s="268"/>
    </row>
    <row r="608" spans="1:6" x14ac:dyDescent="0.25">
      <c r="A608" s="35"/>
      <c r="C608" s="35"/>
      <c r="D608" s="35"/>
      <c r="E608" s="35"/>
      <c r="F608" s="268"/>
    </row>
    <row r="609" spans="1:6" x14ac:dyDescent="0.25">
      <c r="A609" s="35"/>
      <c r="C609" s="35"/>
      <c r="D609" s="35"/>
      <c r="E609" s="35"/>
      <c r="F609" s="268"/>
    </row>
    <row r="610" spans="1:6" x14ac:dyDescent="0.25">
      <c r="A610" s="35"/>
      <c r="C610" s="35"/>
      <c r="D610" s="35"/>
      <c r="E610" s="35"/>
      <c r="F610" s="268"/>
    </row>
    <row r="611" spans="1:6" x14ac:dyDescent="0.25">
      <c r="A611" s="35"/>
      <c r="C611" s="35"/>
      <c r="D611" s="35"/>
      <c r="E611" s="35"/>
      <c r="F611" s="268"/>
    </row>
    <row r="612" spans="1:6" x14ac:dyDescent="0.25">
      <c r="A612" s="35"/>
      <c r="C612" s="35"/>
      <c r="D612" s="35"/>
      <c r="E612" s="35"/>
      <c r="F612" s="268"/>
    </row>
    <row r="613" spans="1:6" x14ac:dyDescent="0.25">
      <c r="A613" s="35"/>
      <c r="C613" s="35"/>
      <c r="D613" s="35"/>
      <c r="E613" s="35"/>
      <c r="F613" s="268"/>
    </row>
    <row r="614" spans="1:6" x14ac:dyDescent="0.25">
      <c r="A614" s="35"/>
      <c r="C614" s="35"/>
      <c r="D614" s="35"/>
      <c r="E614" s="35"/>
      <c r="F614" s="268"/>
    </row>
    <row r="615" spans="1:6" x14ac:dyDescent="0.25">
      <c r="A615" s="35"/>
      <c r="C615" s="35"/>
      <c r="D615" s="35"/>
      <c r="E615" s="35"/>
      <c r="F615" s="268"/>
    </row>
    <row r="616" spans="1:6" x14ac:dyDescent="0.25">
      <c r="A616" s="35"/>
      <c r="C616" s="35"/>
      <c r="D616" s="35"/>
      <c r="E616" s="35"/>
      <c r="F616" s="268"/>
    </row>
    <row r="617" spans="1:6" x14ac:dyDescent="0.25">
      <c r="A617" s="35"/>
      <c r="C617" s="35"/>
      <c r="D617" s="35"/>
      <c r="E617" s="35"/>
      <c r="F617" s="268"/>
    </row>
    <row r="618" spans="1:6" x14ac:dyDescent="0.25">
      <c r="A618" s="35"/>
      <c r="C618" s="35"/>
      <c r="D618" s="35"/>
      <c r="E618" s="35"/>
      <c r="F618" s="268"/>
    </row>
    <row r="619" spans="1:6" x14ac:dyDescent="0.25">
      <c r="A619" s="35"/>
      <c r="C619" s="35"/>
      <c r="D619" s="35"/>
      <c r="E619" s="35"/>
      <c r="F619" s="268"/>
    </row>
    <row r="620" spans="1:6" x14ac:dyDescent="0.25">
      <c r="A620" s="35"/>
      <c r="C620" s="35"/>
      <c r="D620" s="35"/>
      <c r="E620" s="35"/>
      <c r="F620" s="268"/>
    </row>
    <row r="621" spans="1:6" x14ac:dyDescent="0.25">
      <c r="A621" s="35"/>
      <c r="C621" s="35"/>
      <c r="D621" s="35"/>
      <c r="E621" s="35"/>
      <c r="F621" s="268"/>
    </row>
    <row r="622" spans="1:6" x14ac:dyDescent="0.25">
      <c r="A622" s="35"/>
      <c r="C622" s="35"/>
      <c r="D622" s="35"/>
      <c r="E622" s="35"/>
      <c r="F622" s="268"/>
    </row>
    <row r="623" spans="1:6" x14ac:dyDescent="0.25">
      <c r="A623" s="35"/>
      <c r="C623" s="35"/>
      <c r="D623" s="35"/>
      <c r="E623" s="35"/>
      <c r="F623" s="268"/>
    </row>
    <row r="624" spans="1:6" x14ac:dyDescent="0.25">
      <c r="A624" s="35"/>
      <c r="C624" s="35"/>
      <c r="D624" s="35"/>
      <c r="E624" s="35"/>
      <c r="F624" s="268"/>
    </row>
    <row r="625" spans="1:6" x14ac:dyDescent="0.25">
      <c r="A625" s="35"/>
      <c r="C625" s="35"/>
      <c r="D625" s="35"/>
      <c r="E625" s="35"/>
      <c r="F625" s="268"/>
    </row>
    <row r="626" spans="1:6" x14ac:dyDescent="0.25">
      <c r="A626" s="35"/>
      <c r="C626" s="35"/>
      <c r="D626" s="35"/>
      <c r="E626" s="35"/>
      <c r="F626" s="268"/>
    </row>
    <row r="627" spans="1:6" x14ac:dyDescent="0.25">
      <c r="A627" s="35"/>
      <c r="C627" s="35"/>
      <c r="D627" s="35"/>
      <c r="E627" s="35"/>
      <c r="F627" s="268"/>
    </row>
    <row r="628" spans="1:6" x14ac:dyDescent="0.25">
      <c r="A628" s="35"/>
      <c r="C628" s="35"/>
      <c r="D628" s="35"/>
      <c r="E628" s="35"/>
      <c r="F628" s="268"/>
    </row>
    <row r="629" spans="1:6" x14ac:dyDescent="0.25">
      <c r="A629" s="35"/>
      <c r="C629" s="35"/>
      <c r="D629" s="35"/>
      <c r="E629" s="35"/>
      <c r="F629" s="268"/>
    </row>
    <row r="630" spans="1:6" x14ac:dyDescent="0.25">
      <c r="A630" s="35"/>
      <c r="C630" s="35"/>
      <c r="D630" s="35"/>
      <c r="E630" s="35"/>
      <c r="F630" s="268"/>
    </row>
    <row r="631" spans="1:6" x14ac:dyDescent="0.25">
      <c r="A631" s="35"/>
      <c r="C631" s="35"/>
      <c r="D631" s="35"/>
      <c r="E631" s="35"/>
      <c r="F631" s="268"/>
    </row>
    <row r="632" spans="1:6" x14ac:dyDescent="0.25">
      <c r="A632" s="35"/>
      <c r="C632" s="35"/>
      <c r="D632" s="35"/>
      <c r="E632" s="35"/>
      <c r="F632" s="268"/>
    </row>
    <row r="633" spans="1:6" x14ac:dyDescent="0.25">
      <c r="A633" s="35"/>
      <c r="C633" s="35"/>
      <c r="D633" s="35"/>
      <c r="E633" s="35"/>
      <c r="F633" s="268"/>
    </row>
    <row r="634" spans="1:6" x14ac:dyDescent="0.25">
      <c r="A634" s="35"/>
      <c r="C634" s="35"/>
      <c r="D634" s="35"/>
      <c r="E634" s="35"/>
      <c r="F634" s="268"/>
    </row>
    <row r="635" spans="1:6" x14ac:dyDescent="0.25">
      <c r="A635" s="35"/>
      <c r="C635" s="35"/>
      <c r="D635" s="35"/>
      <c r="E635" s="35"/>
      <c r="F635" s="268"/>
    </row>
    <row r="636" spans="1:6" x14ac:dyDescent="0.25">
      <c r="A636" s="35"/>
      <c r="C636" s="35"/>
      <c r="D636" s="35"/>
      <c r="E636" s="35"/>
      <c r="F636" s="268"/>
    </row>
    <row r="637" spans="1:6" x14ac:dyDescent="0.25">
      <c r="A637" s="35"/>
      <c r="C637" s="35"/>
      <c r="D637" s="35"/>
      <c r="E637" s="35"/>
      <c r="F637" s="268"/>
    </row>
    <row r="638" spans="1:6" x14ac:dyDescent="0.25">
      <c r="A638" s="35"/>
      <c r="C638" s="35"/>
      <c r="D638" s="35"/>
      <c r="E638" s="35"/>
      <c r="F638" s="268"/>
    </row>
    <row r="639" spans="1:6" x14ac:dyDescent="0.25">
      <c r="A639" s="35"/>
      <c r="C639" s="35"/>
      <c r="D639" s="35"/>
      <c r="E639" s="35"/>
      <c r="F639" s="268"/>
    </row>
    <row r="640" spans="1:6" x14ac:dyDescent="0.25">
      <c r="A640" s="35"/>
      <c r="C640" s="35"/>
      <c r="D640" s="35"/>
      <c r="E640" s="35"/>
      <c r="F640" s="268"/>
    </row>
    <row r="641" spans="1:6" x14ac:dyDescent="0.25">
      <c r="A641" s="35"/>
      <c r="C641" s="35"/>
      <c r="D641" s="35"/>
      <c r="E641" s="35"/>
      <c r="F641" s="268"/>
    </row>
    <row r="642" spans="1:6" x14ac:dyDescent="0.25">
      <c r="A642" s="35"/>
      <c r="C642" s="35"/>
      <c r="D642" s="35"/>
      <c r="E642" s="35"/>
      <c r="F642" s="268"/>
    </row>
    <row r="643" spans="1:6" x14ac:dyDescent="0.25">
      <c r="A643" s="35"/>
      <c r="C643" s="35"/>
      <c r="D643" s="35"/>
      <c r="E643" s="35"/>
      <c r="F643" s="268"/>
    </row>
    <row r="644" spans="1:6" x14ac:dyDescent="0.25">
      <c r="A644" s="35"/>
      <c r="C644" s="35"/>
      <c r="D644" s="35"/>
      <c r="E644" s="35"/>
      <c r="F644" s="268"/>
    </row>
    <row r="645" spans="1:6" x14ac:dyDescent="0.25">
      <c r="A645" s="35"/>
      <c r="C645" s="35"/>
      <c r="D645" s="35"/>
      <c r="E645" s="35"/>
      <c r="F645" s="268"/>
    </row>
    <row r="646" spans="1:6" x14ac:dyDescent="0.25">
      <c r="A646" s="35"/>
      <c r="C646" s="35"/>
      <c r="D646" s="35"/>
      <c r="E646" s="35"/>
      <c r="F646" s="268"/>
    </row>
    <row r="647" spans="1:6" x14ac:dyDescent="0.25">
      <c r="A647" s="35"/>
      <c r="C647" s="35"/>
      <c r="D647" s="35"/>
      <c r="E647" s="35"/>
      <c r="F647" s="268"/>
    </row>
    <row r="648" spans="1:6" x14ac:dyDescent="0.25">
      <c r="A648" s="35"/>
      <c r="C648" s="35"/>
      <c r="D648" s="35"/>
      <c r="E648" s="35"/>
      <c r="F648" s="268"/>
    </row>
    <row r="649" spans="1:6" x14ac:dyDescent="0.25">
      <c r="A649" s="35"/>
      <c r="C649" s="35"/>
      <c r="D649" s="35"/>
      <c r="E649" s="35"/>
      <c r="F649" s="268"/>
    </row>
    <row r="650" spans="1:6" x14ac:dyDescent="0.25">
      <c r="A650" s="35"/>
      <c r="C650" s="35"/>
      <c r="D650" s="35"/>
      <c r="E650" s="35"/>
      <c r="F650" s="268"/>
    </row>
    <row r="651" spans="1:6" x14ac:dyDescent="0.25">
      <c r="A651" s="35"/>
      <c r="C651" s="35"/>
      <c r="D651" s="35"/>
      <c r="E651" s="35"/>
      <c r="F651" s="268"/>
    </row>
    <row r="652" spans="1:6" x14ac:dyDescent="0.25">
      <c r="A652" s="35"/>
      <c r="C652" s="35"/>
      <c r="D652" s="35"/>
      <c r="E652" s="35"/>
      <c r="F652" s="268"/>
    </row>
    <row r="653" spans="1:6" x14ac:dyDescent="0.25">
      <c r="A653" s="35"/>
      <c r="C653" s="35"/>
      <c r="D653" s="35"/>
      <c r="E653" s="35"/>
      <c r="F653" s="268"/>
    </row>
    <row r="654" spans="1:6" x14ac:dyDescent="0.25">
      <c r="A654" s="35"/>
      <c r="C654" s="35"/>
      <c r="D654" s="35"/>
      <c r="E654" s="35"/>
      <c r="F654" s="268"/>
    </row>
    <row r="655" spans="1:6" x14ac:dyDescent="0.25">
      <c r="A655" s="35"/>
      <c r="C655" s="35"/>
      <c r="D655" s="35"/>
      <c r="E655" s="35"/>
      <c r="F655" s="268"/>
    </row>
    <row r="656" spans="1:6" x14ac:dyDescent="0.25">
      <c r="A656" s="35"/>
      <c r="C656" s="35"/>
      <c r="D656" s="35"/>
      <c r="E656" s="35"/>
      <c r="F656" s="268"/>
    </row>
    <row r="657" spans="1:6" x14ac:dyDescent="0.25">
      <c r="A657" s="35"/>
      <c r="C657" s="35"/>
      <c r="D657" s="35"/>
      <c r="E657" s="35"/>
      <c r="F657" s="268"/>
    </row>
    <row r="658" spans="1:6" x14ac:dyDescent="0.25">
      <c r="A658" s="35"/>
      <c r="C658" s="35"/>
      <c r="D658" s="35"/>
      <c r="E658" s="35"/>
      <c r="F658" s="268"/>
    </row>
    <row r="659" spans="1:6" x14ac:dyDescent="0.25">
      <c r="A659" s="35"/>
      <c r="C659" s="35"/>
      <c r="D659" s="35"/>
      <c r="E659" s="35"/>
      <c r="F659" s="268"/>
    </row>
    <row r="660" spans="1:6" x14ac:dyDescent="0.25">
      <c r="A660" s="35"/>
      <c r="C660" s="35"/>
      <c r="D660" s="35"/>
      <c r="E660" s="35"/>
      <c r="F660" s="268"/>
    </row>
    <row r="661" spans="1:6" x14ac:dyDescent="0.25">
      <c r="A661" s="35"/>
      <c r="C661" s="35"/>
      <c r="D661" s="35"/>
      <c r="E661" s="35"/>
      <c r="F661" s="268"/>
    </row>
    <row r="662" spans="1:6" x14ac:dyDescent="0.25">
      <c r="A662" s="35"/>
      <c r="C662" s="35"/>
      <c r="D662" s="35"/>
      <c r="E662" s="35"/>
      <c r="F662" s="268"/>
    </row>
    <row r="663" spans="1:6" x14ac:dyDescent="0.25">
      <c r="A663" s="35"/>
      <c r="C663" s="35"/>
      <c r="D663" s="35"/>
      <c r="E663" s="35"/>
      <c r="F663" s="268"/>
    </row>
    <row r="664" spans="1:6" x14ac:dyDescent="0.25">
      <c r="A664" s="35"/>
      <c r="C664" s="35"/>
      <c r="D664" s="35"/>
      <c r="E664" s="35"/>
      <c r="F664" s="268"/>
    </row>
    <row r="665" spans="1:6" x14ac:dyDescent="0.25">
      <c r="A665" s="35"/>
      <c r="C665" s="35"/>
      <c r="D665" s="35"/>
      <c r="E665" s="35"/>
      <c r="F665" s="268"/>
    </row>
    <row r="666" spans="1:6" x14ac:dyDescent="0.25">
      <c r="A666" s="35"/>
      <c r="C666" s="35"/>
      <c r="D666" s="35"/>
      <c r="E666" s="35"/>
      <c r="F666" s="268"/>
    </row>
    <row r="667" spans="1:6" x14ac:dyDescent="0.25">
      <c r="A667" s="35"/>
      <c r="C667" s="35"/>
      <c r="D667" s="35"/>
      <c r="E667" s="35"/>
      <c r="F667" s="268"/>
    </row>
    <row r="668" spans="1:6" x14ac:dyDescent="0.25">
      <c r="A668" s="35"/>
      <c r="C668" s="35"/>
      <c r="D668" s="35"/>
      <c r="E668" s="35"/>
      <c r="F668" s="268"/>
    </row>
    <row r="669" spans="1:6" x14ac:dyDescent="0.25">
      <c r="A669" s="35"/>
      <c r="C669" s="35"/>
      <c r="D669" s="35"/>
      <c r="E669" s="35"/>
      <c r="F669" s="268"/>
    </row>
    <row r="670" spans="1:6" x14ac:dyDescent="0.25">
      <c r="A670" s="35"/>
      <c r="C670" s="35"/>
      <c r="D670" s="35"/>
      <c r="E670" s="35"/>
      <c r="F670" s="268"/>
    </row>
    <row r="671" spans="1:6" x14ac:dyDescent="0.25">
      <c r="A671" s="35"/>
      <c r="C671" s="35"/>
      <c r="D671" s="35"/>
      <c r="E671" s="35"/>
      <c r="F671" s="268"/>
    </row>
    <row r="672" spans="1:6" x14ac:dyDescent="0.25">
      <c r="A672" s="35"/>
      <c r="C672" s="35"/>
      <c r="D672" s="35"/>
      <c r="E672" s="35"/>
      <c r="F672" s="268"/>
    </row>
    <row r="673" spans="1:6" x14ac:dyDescent="0.25">
      <c r="A673" s="35"/>
      <c r="C673" s="35"/>
      <c r="D673" s="35"/>
      <c r="E673" s="35"/>
      <c r="F673" s="268"/>
    </row>
    <row r="674" spans="1:6" x14ac:dyDescent="0.25">
      <c r="A674" s="35"/>
      <c r="C674" s="35"/>
      <c r="D674" s="35"/>
      <c r="E674" s="35"/>
      <c r="F674" s="268"/>
    </row>
    <row r="675" spans="1:6" x14ac:dyDescent="0.25">
      <c r="A675" s="35"/>
      <c r="C675" s="35"/>
      <c r="D675" s="35"/>
      <c r="E675" s="35"/>
      <c r="F675" s="268"/>
    </row>
    <row r="676" spans="1:6" x14ac:dyDescent="0.25">
      <c r="A676" s="35"/>
      <c r="C676" s="35"/>
      <c r="D676" s="35"/>
      <c r="E676" s="35"/>
      <c r="F676" s="268"/>
    </row>
    <row r="677" spans="1:6" x14ac:dyDescent="0.25">
      <c r="A677" s="35"/>
      <c r="C677" s="35"/>
      <c r="D677" s="35"/>
      <c r="E677" s="35"/>
      <c r="F677" s="268"/>
    </row>
    <row r="678" spans="1:6" x14ac:dyDescent="0.25">
      <c r="A678" s="35"/>
      <c r="C678" s="35"/>
      <c r="D678" s="35"/>
      <c r="E678" s="35"/>
      <c r="F678" s="268"/>
    </row>
    <row r="679" spans="1:6" x14ac:dyDescent="0.25">
      <c r="A679" s="35"/>
      <c r="C679" s="35"/>
      <c r="D679" s="35"/>
      <c r="E679" s="35"/>
      <c r="F679" s="268"/>
    </row>
    <row r="680" spans="1:6" x14ac:dyDescent="0.25">
      <c r="A680" s="35"/>
      <c r="C680" s="35"/>
      <c r="D680" s="35"/>
      <c r="E680" s="35"/>
      <c r="F680" s="268"/>
    </row>
    <row r="681" spans="1:6" x14ac:dyDescent="0.25">
      <c r="A681" s="35"/>
      <c r="C681" s="35"/>
      <c r="D681" s="35"/>
      <c r="E681" s="35"/>
      <c r="F681" s="268"/>
    </row>
    <row r="682" spans="1:6" x14ac:dyDescent="0.25">
      <c r="A682" s="35"/>
      <c r="C682" s="35"/>
      <c r="D682" s="35"/>
      <c r="E682" s="35"/>
      <c r="F682" s="268"/>
    </row>
    <row r="683" spans="1:6" x14ac:dyDescent="0.25">
      <c r="A683" s="35"/>
      <c r="C683" s="35"/>
      <c r="D683" s="35"/>
      <c r="E683" s="35"/>
      <c r="F683" s="268"/>
    </row>
    <row r="684" spans="1:6" x14ac:dyDescent="0.25">
      <c r="A684" s="35"/>
      <c r="C684" s="35"/>
      <c r="D684" s="35"/>
      <c r="E684" s="35"/>
      <c r="F684" s="268"/>
    </row>
    <row r="685" spans="1:6" x14ac:dyDescent="0.25">
      <c r="A685" s="35"/>
      <c r="C685" s="35"/>
      <c r="D685" s="35"/>
      <c r="E685" s="35"/>
      <c r="F685" s="268"/>
    </row>
    <row r="686" spans="1:6" x14ac:dyDescent="0.25">
      <c r="A686" s="35"/>
      <c r="C686" s="35"/>
      <c r="D686" s="35"/>
      <c r="E686" s="35"/>
      <c r="F686" s="268"/>
    </row>
    <row r="687" spans="1:6" x14ac:dyDescent="0.25">
      <c r="A687" s="35"/>
      <c r="C687" s="35"/>
      <c r="D687" s="35"/>
      <c r="E687" s="35"/>
      <c r="F687" s="268"/>
    </row>
    <row r="688" spans="1:6" x14ac:dyDescent="0.25">
      <c r="A688" s="35"/>
      <c r="C688" s="35"/>
      <c r="D688" s="35"/>
      <c r="E688" s="35"/>
      <c r="F688" s="268"/>
    </row>
    <row r="689" spans="1:6" x14ac:dyDescent="0.25">
      <c r="A689" s="35"/>
      <c r="C689" s="35"/>
      <c r="D689" s="35"/>
      <c r="E689" s="35"/>
      <c r="F689" s="268"/>
    </row>
    <row r="690" spans="1:6" x14ac:dyDescent="0.25">
      <c r="A690" s="35"/>
      <c r="C690" s="35"/>
      <c r="D690" s="35"/>
      <c r="E690" s="35"/>
      <c r="F690" s="268"/>
    </row>
    <row r="691" spans="1:6" x14ac:dyDescent="0.25">
      <c r="A691" s="35"/>
      <c r="C691" s="35"/>
      <c r="D691" s="35"/>
      <c r="E691" s="35"/>
      <c r="F691" s="268"/>
    </row>
    <row r="692" spans="1:6" x14ac:dyDescent="0.25">
      <c r="A692" s="35"/>
      <c r="C692" s="35"/>
      <c r="D692" s="35"/>
      <c r="E692" s="35"/>
      <c r="F692" s="268"/>
    </row>
    <row r="693" spans="1:6" x14ac:dyDescent="0.25">
      <c r="A693" s="35"/>
      <c r="C693" s="35"/>
      <c r="D693" s="35"/>
      <c r="E693" s="35"/>
      <c r="F693" s="268"/>
    </row>
    <row r="694" spans="1:6" x14ac:dyDescent="0.25">
      <c r="A694" s="35"/>
      <c r="C694" s="35"/>
      <c r="D694" s="35"/>
      <c r="E694" s="35"/>
      <c r="F694" s="268"/>
    </row>
    <row r="695" spans="1:6" x14ac:dyDescent="0.25">
      <c r="A695" s="35"/>
      <c r="C695" s="35"/>
      <c r="D695" s="35"/>
      <c r="E695" s="35"/>
      <c r="F695" s="268"/>
    </row>
    <row r="696" spans="1:6" x14ac:dyDescent="0.25">
      <c r="A696" s="35"/>
      <c r="C696" s="35"/>
      <c r="D696" s="35"/>
      <c r="E696" s="35"/>
      <c r="F696" s="268"/>
    </row>
    <row r="697" spans="1:6" x14ac:dyDescent="0.25">
      <c r="A697" s="35"/>
      <c r="C697" s="35"/>
      <c r="D697" s="35"/>
      <c r="E697" s="35"/>
      <c r="F697" s="268"/>
    </row>
    <row r="698" spans="1:6" x14ac:dyDescent="0.25">
      <c r="A698" s="35"/>
      <c r="C698" s="35"/>
      <c r="D698" s="35"/>
      <c r="E698" s="35"/>
      <c r="F698" s="268"/>
    </row>
    <row r="699" spans="1:6" x14ac:dyDescent="0.25">
      <c r="A699" s="35"/>
      <c r="C699" s="35"/>
      <c r="D699" s="35"/>
      <c r="E699" s="35"/>
      <c r="F699" s="268"/>
    </row>
    <row r="700" spans="1:6" x14ac:dyDescent="0.25">
      <c r="A700" s="35"/>
      <c r="C700" s="35"/>
      <c r="D700" s="35"/>
      <c r="E700" s="35"/>
      <c r="F700" s="268"/>
    </row>
    <row r="701" spans="1:6" x14ac:dyDescent="0.25">
      <c r="A701" s="35"/>
      <c r="C701" s="35"/>
      <c r="D701" s="35"/>
      <c r="E701" s="35"/>
      <c r="F701" s="268"/>
    </row>
    <row r="702" spans="1:6" x14ac:dyDescent="0.25">
      <c r="A702" s="35"/>
      <c r="C702" s="35"/>
      <c r="D702" s="35"/>
      <c r="E702" s="35"/>
      <c r="F702" s="268"/>
    </row>
    <row r="703" spans="1:6" x14ac:dyDescent="0.25">
      <c r="A703" s="35"/>
      <c r="C703" s="35"/>
      <c r="D703" s="35"/>
      <c r="E703" s="35"/>
      <c r="F703" s="268"/>
    </row>
    <row r="704" spans="1:6" x14ac:dyDescent="0.25">
      <c r="A704" s="35"/>
      <c r="C704" s="35"/>
      <c r="D704" s="35"/>
      <c r="E704" s="35"/>
      <c r="F704" s="268"/>
    </row>
    <row r="705" spans="1:6" x14ac:dyDescent="0.25">
      <c r="A705" s="35"/>
      <c r="C705" s="35"/>
      <c r="D705" s="35"/>
      <c r="E705" s="35"/>
      <c r="F705" s="268"/>
    </row>
    <row r="706" spans="1:6" x14ac:dyDescent="0.25">
      <c r="A706" s="35"/>
      <c r="C706" s="35"/>
      <c r="D706" s="35"/>
      <c r="E706" s="35"/>
      <c r="F706" s="268"/>
    </row>
    <row r="707" spans="1:6" x14ac:dyDescent="0.25">
      <c r="A707" s="35"/>
      <c r="C707" s="35"/>
      <c r="D707" s="35"/>
      <c r="E707" s="35"/>
      <c r="F707" s="268"/>
    </row>
    <row r="708" spans="1:6" x14ac:dyDescent="0.25">
      <c r="A708" s="35"/>
      <c r="C708" s="35"/>
      <c r="D708" s="35"/>
      <c r="E708" s="35"/>
      <c r="F708" s="268"/>
    </row>
    <row r="709" spans="1:6" x14ac:dyDescent="0.25">
      <c r="A709" s="35"/>
      <c r="C709" s="35"/>
      <c r="D709" s="35"/>
      <c r="E709" s="35"/>
      <c r="F709" s="268"/>
    </row>
    <row r="710" spans="1:6" x14ac:dyDescent="0.25">
      <c r="A710" s="35"/>
      <c r="C710" s="35"/>
      <c r="D710" s="35"/>
      <c r="E710" s="35"/>
      <c r="F710" s="268"/>
    </row>
    <row r="711" spans="1:6" x14ac:dyDescent="0.25">
      <c r="A711" s="35"/>
      <c r="C711" s="35"/>
      <c r="D711" s="35"/>
      <c r="E711" s="35"/>
      <c r="F711" s="268"/>
    </row>
    <row r="712" spans="1:6" x14ac:dyDescent="0.25">
      <c r="A712" s="35"/>
      <c r="C712" s="35"/>
      <c r="D712" s="35"/>
      <c r="E712" s="35"/>
      <c r="F712" s="268"/>
    </row>
    <row r="713" spans="1:6" x14ac:dyDescent="0.25">
      <c r="A713" s="35"/>
      <c r="C713" s="35"/>
      <c r="D713" s="35"/>
      <c r="E713" s="35"/>
      <c r="F713" s="268"/>
    </row>
    <row r="714" spans="1:6" x14ac:dyDescent="0.25">
      <c r="A714" s="35"/>
      <c r="C714" s="35"/>
      <c r="D714" s="35"/>
      <c r="E714" s="35"/>
      <c r="F714" s="268"/>
    </row>
    <row r="715" spans="1:6" x14ac:dyDescent="0.25">
      <c r="A715" s="35"/>
      <c r="C715" s="35"/>
      <c r="D715" s="35"/>
      <c r="E715" s="35"/>
      <c r="F715" s="268"/>
    </row>
    <row r="716" spans="1:6" x14ac:dyDescent="0.25">
      <c r="A716" s="35"/>
      <c r="C716" s="35"/>
      <c r="D716" s="35"/>
      <c r="E716" s="35"/>
      <c r="F716" s="268"/>
    </row>
    <row r="717" spans="1:6" x14ac:dyDescent="0.25">
      <c r="A717" s="35"/>
      <c r="C717" s="35"/>
      <c r="D717" s="35"/>
      <c r="E717" s="35"/>
      <c r="F717" s="268"/>
    </row>
    <row r="718" spans="1:6" x14ac:dyDescent="0.25">
      <c r="A718" s="35"/>
      <c r="C718" s="35"/>
      <c r="D718" s="35"/>
      <c r="E718" s="35"/>
      <c r="F718" s="268"/>
    </row>
    <row r="719" spans="1:6" x14ac:dyDescent="0.25">
      <c r="A719" s="35"/>
      <c r="C719" s="35"/>
      <c r="D719" s="35"/>
      <c r="E719" s="35"/>
      <c r="F719" s="268"/>
    </row>
    <row r="720" spans="1:6" x14ac:dyDescent="0.25">
      <c r="A720" s="35"/>
      <c r="C720" s="35"/>
      <c r="D720" s="35"/>
      <c r="E720" s="35"/>
      <c r="F720" s="268"/>
    </row>
    <row r="721" spans="1:6" x14ac:dyDescent="0.25">
      <c r="A721" s="35"/>
      <c r="C721" s="35"/>
      <c r="D721" s="35"/>
      <c r="E721" s="35"/>
      <c r="F721" s="268"/>
    </row>
    <row r="722" spans="1:6" x14ac:dyDescent="0.25">
      <c r="A722" s="35"/>
      <c r="C722" s="35"/>
      <c r="D722" s="35"/>
      <c r="E722" s="35"/>
      <c r="F722" s="268"/>
    </row>
    <row r="723" spans="1:6" x14ac:dyDescent="0.25">
      <c r="A723" s="35"/>
      <c r="C723" s="35"/>
      <c r="D723" s="35"/>
      <c r="E723" s="35"/>
      <c r="F723" s="268"/>
    </row>
    <row r="724" spans="1:6" x14ac:dyDescent="0.25">
      <c r="A724" s="35"/>
      <c r="C724" s="35"/>
      <c r="D724" s="35"/>
      <c r="E724" s="35"/>
      <c r="F724" s="268"/>
    </row>
    <row r="725" spans="1:6" x14ac:dyDescent="0.25">
      <c r="A725" s="35"/>
      <c r="C725" s="35"/>
      <c r="D725" s="35"/>
      <c r="E725" s="35"/>
      <c r="F725" s="268"/>
    </row>
    <row r="726" spans="1:6" x14ac:dyDescent="0.25">
      <c r="A726" s="35"/>
      <c r="C726" s="35"/>
      <c r="D726" s="35"/>
      <c r="E726" s="35"/>
      <c r="F726" s="268"/>
    </row>
    <row r="727" spans="1:6" x14ac:dyDescent="0.25">
      <c r="A727" s="35"/>
      <c r="C727" s="35"/>
      <c r="D727" s="35"/>
      <c r="E727" s="35"/>
      <c r="F727" s="268"/>
    </row>
    <row r="728" spans="1:6" x14ac:dyDescent="0.25">
      <c r="A728" s="35"/>
      <c r="C728" s="35"/>
      <c r="D728" s="35"/>
      <c r="E728" s="35"/>
      <c r="F728" s="268"/>
    </row>
    <row r="729" spans="1:6" x14ac:dyDescent="0.25">
      <c r="A729" s="35"/>
      <c r="C729" s="35"/>
      <c r="D729" s="35"/>
      <c r="E729" s="35"/>
      <c r="F729" s="268"/>
    </row>
    <row r="730" spans="1:6" x14ac:dyDescent="0.25">
      <c r="A730" s="35"/>
      <c r="C730" s="35"/>
      <c r="D730" s="35"/>
      <c r="E730" s="35"/>
      <c r="F730" s="268"/>
    </row>
    <row r="731" spans="1:6" x14ac:dyDescent="0.25">
      <c r="A731" s="35"/>
      <c r="C731" s="35"/>
      <c r="D731" s="35"/>
      <c r="E731" s="35"/>
      <c r="F731" s="268"/>
    </row>
    <row r="732" spans="1:6" x14ac:dyDescent="0.25">
      <c r="A732" s="35"/>
      <c r="C732" s="35"/>
      <c r="D732" s="35"/>
      <c r="E732" s="35"/>
      <c r="F732" s="268"/>
    </row>
    <row r="733" spans="1:6" x14ac:dyDescent="0.25">
      <c r="A733" s="35"/>
      <c r="C733" s="35"/>
      <c r="D733" s="35"/>
      <c r="E733" s="35"/>
      <c r="F733" s="268"/>
    </row>
    <row r="734" spans="1:6" x14ac:dyDescent="0.25">
      <c r="A734" s="35"/>
      <c r="C734" s="35"/>
      <c r="D734" s="35"/>
      <c r="E734" s="35"/>
      <c r="F734" s="268"/>
    </row>
    <row r="735" spans="1:6" x14ac:dyDescent="0.25">
      <c r="A735" s="35"/>
      <c r="C735" s="35"/>
      <c r="D735" s="35"/>
      <c r="E735" s="35"/>
      <c r="F735" s="268"/>
    </row>
    <row r="736" spans="1:6" x14ac:dyDescent="0.25">
      <c r="A736" s="35"/>
      <c r="C736" s="35"/>
      <c r="D736" s="35"/>
      <c r="E736" s="35"/>
      <c r="F736" s="268"/>
    </row>
    <row r="737" spans="1:6" x14ac:dyDescent="0.25">
      <c r="A737" s="35"/>
      <c r="C737" s="35"/>
      <c r="D737" s="35"/>
      <c r="E737" s="35"/>
      <c r="F737" s="268"/>
    </row>
    <row r="738" spans="1:6" x14ac:dyDescent="0.25">
      <c r="A738" s="35"/>
      <c r="C738" s="35"/>
      <c r="D738" s="35"/>
      <c r="E738" s="35"/>
      <c r="F738" s="268"/>
    </row>
    <row r="739" spans="1:6" x14ac:dyDescent="0.25">
      <c r="A739" s="35"/>
      <c r="C739" s="35"/>
      <c r="D739" s="35"/>
      <c r="E739" s="35"/>
      <c r="F739" s="268"/>
    </row>
    <row r="740" spans="1:6" x14ac:dyDescent="0.25">
      <c r="A740" s="35"/>
      <c r="C740" s="35"/>
      <c r="D740" s="35"/>
      <c r="E740" s="35"/>
      <c r="F740" s="268"/>
    </row>
    <row r="741" spans="1:6" x14ac:dyDescent="0.25">
      <c r="A741" s="35"/>
      <c r="C741" s="35"/>
      <c r="D741" s="35"/>
      <c r="E741" s="35"/>
      <c r="F741" s="268"/>
    </row>
    <row r="742" spans="1:6" x14ac:dyDescent="0.25">
      <c r="A742" s="35"/>
      <c r="C742" s="35"/>
      <c r="D742" s="35"/>
      <c r="E742" s="35"/>
      <c r="F742" s="268"/>
    </row>
    <row r="743" spans="1:6" x14ac:dyDescent="0.25">
      <c r="A743" s="35"/>
      <c r="C743" s="35"/>
      <c r="D743" s="35"/>
      <c r="E743" s="35"/>
      <c r="F743" s="268"/>
    </row>
    <row r="744" spans="1:6" x14ac:dyDescent="0.25">
      <c r="A744" s="35"/>
      <c r="C744" s="35"/>
      <c r="D744" s="35"/>
      <c r="E744" s="35"/>
      <c r="F744" s="268"/>
    </row>
    <row r="745" spans="1:6" x14ac:dyDescent="0.25">
      <c r="A745" s="35"/>
      <c r="C745" s="35"/>
      <c r="D745" s="35"/>
      <c r="E745" s="35"/>
      <c r="F745" s="268"/>
    </row>
    <row r="746" spans="1:6" x14ac:dyDescent="0.25">
      <c r="A746" s="35"/>
      <c r="C746" s="35"/>
      <c r="D746" s="35"/>
      <c r="E746" s="35"/>
      <c r="F746" s="268"/>
    </row>
    <row r="747" spans="1:6" x14ac:dyDescent="0.25">
      <c r="A747" s="35"/>
      <c r="C747" s="35"/>
      <c r="D747" s="35"/>
      <c r="E747" s="35"/>
      <c r="F747" s="268"/>
    </row>
    <row r="748" spans="1:6" x14ac:dyDescent="0.25">
      <c r="A748" s="35"/>
      <c r="C748" s="35"/>
      <c r="D748" s="35"/>
      <c r="E748" s="35"/>
      <c r="F748" s="268"/>
    </row>
    <row r="749" spans="1:6" x14ac:dyDescent="0.25">
      <c r="A749" s="35"/>
      <c r="C749" s="35"/>
      <c r="D749" s="35"/>
      <c r="E749" s="35"/>
      <c r="F749" s="268"/>
    </row>
    <row r="750" spans="1:6" x14ac:dyDescent="0.25">
      <c r="A750" s="35"/>
      <c r="C750" s="35"/>
      <c r="D750" s="35"/>
      <c r="E750" s="35"/>
      <c r="F750" s="268"/>
    </row>
    <row r="751" spans="1:6" x14ac:dyDescent="0.25">
      <c r="A751" s="35"/>
      <c r="C751" s="35"/>
      <c r="D751" s="35"/>
      <c r="E751" s="35"/>
      <c r="F751" s="268"/>
    </row>
    <row r="752" spans="1:6" x14ac:dyDescent="0.25">
      <c r="A752" s="35"/>
      <c r="C752" s="35"/>
      <c r="D752" s="35"/>
      <c r="E752" s="35"/>
      <c r="F752" s="268"/>
    </row>
    <row r="753" spans="1:6" x14ac:dyDescent="0.25">
      <c r="A753" s="35"/>
      <c r="C753" s="35"/>
      <c r="D753" s="35"/>
      <c r="E753" s="35"/>
      <c r="F753" s="268"/>
    </row>
    <row r="754" spans="1:6" x14ac:dyDescent="0.25">
      <c r="A754" s="35"/>
      <c r="C754" s="35"/>
      <c r="D754" s="35"/>
      <c r="E754" s="35"/>
      <c r="F754" s="268"/>
    </row>
    <row r="755" spans="1:6" x14ac:dyDescent="0.25">
      <c r="A755" s="35"/>
      <c r="C755" s="35"/>
      <c r="D755" s="35"/>
      <c r="E755" s="35"/>
      <c r="F755" s="268"/>
    </row>
    <row r="756" spans="1:6" x14ac:dyDescent="0.25">
      <c r="A756" s="35"/>
      <c r="C756" s="35"/>
      <c r="D756" s="35"/>
      <c r="E756" s="35"/>
      <c r="F756" s="268"/>
    </row>
    <row r="757" spans="1:6" x14ac:dyDescent="0.25">
      <c r="A757" s="35"/>
      <c r="C757" s="35"/>
      <c r="D757" s="35"/>
      <c r="E757" s="35"/>
      <c r="F757" s="268"/>
    </row>
    <row r="758" spans="1:6" x14ac:dyDescent="0.25">
      <c r="A758" s="35"/>
      <c r="C758" s="35"/>
      <c r="D758" s="35"/>
      <c r="E758" s="35"/>
      <c r="F758" s="268"/>
    </row>
    <row r="759" spans="1:6" x14ac:dyDescent="0.25">
      <c r="A759" s="35"/>
      <c r="C759" s="35"/>
      <c r="D759" s="35"/>
      <c r="E759" s="35"/>
      <c r="F759" s="268"/>
    </row>
    <row r="760" spans="1:6" x14ac:dyDescent="0.25">
      <c r="A760" s="35"/>
      <c r="C760" s="35"/>
      <c r="D760" s="35"/>
      <c r="E760" s="35"/>
      <c r="F760" s="268"/>
    </row>
    <row r="761" spans="1:6" x14ac:dyDescent="0.25">
      <c r="A761" s="35"/>
      <c r="C761" s="35"/>
      <c r="D761" s="35"/>
      <c r="E761" s="35"/>
      <c r="F761" s="268"/>
    </row>
    <row r="762" spans="1:6" x14ac:dyDescent="0.25">
      <c r="A762" s="35"/>
      <c r="C762" s="35"/>
      <c r="D762" s="35"/>
      <c r="E762" s="35"/>
      <c r="F762" s="268"/>
    </row>
    <row r="763" spans="1:6" x14ac:dyDescent="0.25">
      <c r="A763" s="35"/>
      <c r="C763" s="35"/>
      <c r="D763" s="35"/>
      <c r="E763" s="35"/>
      <c r="F763" s="268"/>
    </row>
    <row r="764" spans="1:6" x14ac:dyDescent="0.25">
      <c r="A764" s="35"/>
      <c r="C764" s="35"/>
      <c r="D764" s="35"/>
      <c r="E764" s="35"/>
      <c r="F764" s="268"/>
    </row>
    <row r="765" spans="1:6" x14ac:dyDescent="0.25">
      <c r="A765" s="35"/>
      <c r="C765" s="35"/>
      <c r="D765" s="35"/>
      <c r="E765" s="35"/>
      <c r="F765" s="268"/>
    </row>
    <row r="766" spans="1:6" x14ac:dyDescent="0.25">
      <c r="A766" s="35"/>
      <c r="C766" s="35"/>
      <c r="D766" s="35"/>
      <c r="E766" s="35"/>
      <c r="F766" s="268"/>
    </row>
    <row r="767" spans="1:6" x14ac:dyDescent="0.25">
      <c r="A767" s="35"/>
      <c r="C767" s="35"/>
      <c r="D767" s="35"/>
      <c r="E767" s="35"/>
      <c r="F767" s="268"/>
    </row>
    <row r="768" spans="1:6" x14ac:dyDescent="0.25">
      <c r="A768" s="35"/>
      <c r="C768" s="35"/>
      <c r="D768" s="35"/>
      <c r="E768" s="35"/>
      <c r="F768" s="268"/>
    </row>
    <row r="769" spans="1:6" x14ac:dyDescent="0.25">
      <c r="A769" s="35"/>
      <c r="C769" s="35"/>
      <c r="D769" s="35"/>
      <c r="E769" s="35"/>
      <c r="F769" s="268"/>
    </row>
    <row r="770" spans="1:6" x14ac:dyDescent="0.25">
      <c r="A770" s="35"/>
      <c r="C770" s="35"/>
      <c r="D770" s="35"/>
      <c r="E770" s="35"/>
      <c r="F770" s="268"/>
    </row>
    <row r="771" spans="1:6" x14ac:dyDescent="0.25">
      <c r="A771" s="35"/>
      <c r="C771" s="35"/>
      <c r="D771" s="35"/>
      <c r="E771" s="35"/>
      <c r="F771" s="268"/>
    </row>
    <row r="772" spans="1:6" x14ac:dyDescent="0.25">
      <c r="A772" s="35"/>
      <c r="C772" s="35"/>
      <c r="D772" s="35"/>
      <c r="E772" s="35"/>
      <c r="F772" s="268"/>
    </row>
    <row r="773" spans="1:6" x14ac:dyDescent="0.25">
      <c r="A773" s="35"/>
      <c r="C773" s="35"/>
      <c r="D773" s="35"/>
      <c r="E773" s="35"/>
      <c r="F773" s="268"/>
    </row>
    <row r="774" spans="1:6" x14ac:dyDescent="0.25">
      <c r="A774" s="35"/>
      <c r="C774" s="35"/>
      <c r="D774" s="35"/>
      <c r="E774" s="35"/>
      <c r="F774" s="268"/>
    </row>
    <row r="775" spans="1:6" x14ac:dyDescent="0.25">
      <c r="A775" s="35"/>
      <c r="C775" s="35"/>
      <c r="D775" s="35"/>
      <c r="E775" s="35"/>
      <c r="F775" s="268"/>
    </row>
    <row r="776" spans="1:6" x14ac:dyDescent="0.25">
      <c r="A776" s="35"/>
      <c r="C776" s="35"/>
      <c r="D776" s="35"/>
      <c r="E776" s="35"/>
      <c r="F776" s="268"/>
    </row>
    <row r="777" spans="1:6" x14ac:dyDescent="0.25">
      <c r="A777" s="35"/>
      <c r="C777" s="35"/>
      <c r="D777" s="35"/>
      <c r="E777" s="35"/>
      <c r="F777" s="268"/>
    </row>
    <row r="778" spans="1:6" x14ac:dyDescent="0.25">
      <c r="A778" s="35"/>
      <c r="C778" s="35"/>
      <c r="D778" s="35"/>
      <c r="E778" s="35"/>
      <c r="F778" s="268"/>
    </row>
    <row r="779" spans="1:6" x14ac:dyDescent="0.25">
      <c r="A779" s="35"/>
      <c r="C779" s="35"/>
      <c r="D779" s="35"/>
      <c r="E779" s="35"/>
      <c r="F779" s="268"/>
    </row>
    <row r="780" spans="1:6" x14ac:dyDescent="0.25">
      <c r="A780" s="35"/>
      <c r="C780" s="35"/>
      <c r="D780" s="35"/>
      <c r="E780" s="35"/>
      <c r="F780" s="268"/>
    </row>
    <row r="781" spans="1:6" x14ac:dyDescent="0.25">
      <c r="A781" s="35"/>
      <c r="C781" s="35"/>
      <c r="D781" s="35"/>
      <c r="E781" s="35"/>
      <c r="F781" s="268"/>
    </row>
    <row r="782" spans="1:6" x14ac:dyDescent="0.25">
      <c r="A782" s="35"/>
      <c r="C782" s="35"/>
      <c r="D782" s="35"/>
      <c r="E782" s="35"/>
      <c r="F782" s="268"/>
    </row>
    <row r="783" spans="1:6" x14ac:dyDescent="0.25">
      <c r="A783" s="35"/>
      <c r="C783" s="35"/>
      <c r="D783" s="35"/>
      <c r="E783" s="35"/>
      <c r="F783" s="268"/>
    </row>
    <row r="784" spans="1:6" x14ac:dyDescent="0.25">
      <c r="A784" s="35"/>
      <c r="C784" s="35"/>
      <c r="D784" s="35"/>
      <c r="E784" s="35"/>
      <c r="F784" s="268"/>
    </row>
    <row r="785" spans="1:6" x14ac:dyDescent="0.25">
      <c r="A785" s="35"/>
      <c r="C785" s="35"/>
      <c r="D785" s="35"/>
      <c r="E785" s="35"/>
      <c r="F785" s="268"/>
    </row>
    <row r="786" spans="1:6" x14ac:dyDescent="0.25">
      <c r="A786" s="35"/>
      <c r="C786" s="35"/>
      <c r="D786" s="35"/>
      <c r="E786" s="35"/>
      <c r="F786" s="268"/>
    </row>
    <row r="787" spans="1:6" x14ac:dyDescent="0.25">
      <c r="A787" s="35"/>
      <c r="C787" s="35"/>
      <c r="D787" s="35"/>
      <c r="E787" s="35"/>
      <c r="F787" s="268"/>
    </row>
    <row r="788" spans="1:6" x14ac:dyDescent="0.25">
      <c r="A788" s="35"/>
      <c r="C788" s="35"/>
      <c r="D788" s="35"/>
      <c r="E788" s="35"/>
      <c r="F788" s="268"/>
    </row>
    <row r="789" spans="1:6" x14ac:dyDescent="0.25">
      <c r="A789" s="35"/>
      <c r="C789" s="35"/>
      <c r="D789" s="35"/>
      <c r="E789" s="35"/>
      <c r="F789" s="268"/>
    </row>
    <row r="790" spans="1:6" x14ac:dyDescent="0.25">
      <c r="A790" s="35"/>
      <c r="C790" s="35"/>
      <c r="D790" s="35"/>
      <c r="E790" s="35"/>
      <c r="F790" s="268"/>
    </row>
    <row r="791" spans="1:6" x14ac:dyDescent="0.25">
      <c r="A791" s="35"/>
      <c r="C791" s="35"/>
      <c r="D791" s="35"/>
      <c r="E791" s="35"/>
      <c r="F791" s="268"/>
    </row>
    <row r="792" spans="1:6" x14ac:dyDescent="0.25">
      <c r="A792" s="35"/>
      <c r="C792" s="35"/>
      <c r="D792" s="35"/>
      <c r="E792" s="35"/>
      <c r="F792" s="268"/>
    </row>
    <row r="793" spans="1:6" x14ac:dyDescent="0.25">
      <c r="A793" s="35"/>
      <c r="C793" s="35"/>
      <c r="D793" s="35"/>
      <c r="E793" s="35"/>
      <c r="F793" s="268"/>
    </row>
    <row r="794" spans="1:6" x14ac:dyDescent="0.25">
      <c r="A794" s="35"/>
      <c r="C794" s="35"/>
      <c r="D794" s="35"/>
      <c r="E794" s="35"/>
      <c r="F794" s="268"/>
    </row>
    <row r="795" spans="1:6" x14ac:dyDescent="0.25">
      <c r="A795" s="35"/>
      <c r="C795" s="35"/>
      <c r="D795" s="35"/>
      <c r="E795" s="35"/>
      <c r="F795" s="268"/>
    </row>
    <row r="796" spans="1:6" x14ac:dyDescent="0.25">
      <c r="A796" s="35"/>
      <c r="C796" s="35"/>
      <c r="D796" s="35"/>
      <c r="E796" s="35"/>
      <c r="F796" s="268"/>
    </row>
    <row r="797" spans="1:6" x14ac:dyDescent="0.25">
      <c r="A797" s="35"/>
      <c r="C797" s="35"/>
      <c r="D797" s="35"/>
      <c r="E797" s="35"/>
      <c r="F797" s="268"/>
    </row>
    <row r="798" spans="1:6" x14ac:dyDescent="0.25">
      <c r="A798" s="35"/>
      <c r="C798" s="35"/>
      <c r="D798" s="35"/>
      <c r="E798" s="35"/>
      <c r="F798" s="268"/>
    </row>
    <row r="799" spans="1:6" x14ac:dyDescent="0.25">
      <c r="A799" s="35"/>
      <c r="C799" s="35"/>
      <c r="D799" s="35"/>
      <c r="E799" s="35"/>
      <c r="F799" s="268"/>
    </row>
    <row r="800" spans="1:6" x14ac:dyDescent="0.25">
      <c r="A800" s="35"/>
      <c r="C800" s="35"/>
      <c r="D800" s="35"/>
      <c r="E800" s="35"/>
      <c r="F800" s="268"/>
    </row>
    <row r="801" spans="1:6" x14ac:dyDescent="0.25">
      <c r="A801" s="35"/>
      <c r="C801" s="35"/>
      <c r="D801" s="35"/>
      <c r="E801" s="35"/>
      <c r="F801" s="268"/>
    </row>
    <row r="802" spans="1:6" x14ac:dyDescent="0.25">
      <c r="A802" s="35"/>
      <c r="C802" s="35"/>
      <c r="D802" s="35"/>
      <c r="E802" s="35"/>
      <c r="F802" s="268"/>
    </row>
    <row r="803" spans="1:6" x14ac:dyDescent="0.25">
      <c r="A803" s="35"/>
      <c r="C803" s="35"/>
      <c r="D803" s="35"/>
      <c r="E803" s="35"/>
      <c r="F803" s="268"/>
    </row>
    <row r="804" spans="1:6" x14ac:dyDescent="0.25">
      <c r="A804" s="35"/>
      <c r="C804" s="35"/>
      <c r="D804" s="35"/>
      <c r="E804" s="35"/>
      <c r="F804" s="268"/>
    </row>
    <row r="805" spans="1:6" x14ac:dyDescent="0.25">
      <c r="A805" s="35"/>
      <c r="C805" s="35"/>
      <c r="D805" s="35"/>
      <c r="E805" s="35"/>
      <c r="F805" s="268"/>
    </row>
    <row r="806" spans="1:6" x14ac:dyDescent="0.25">
      <c r="A806" s="35"/>
      <c r="C806" s="35"/>
      <c r="D806" s="35"/>
      <c r="E806" s="35"/>
      <c r="F806" s="268"/>
    </row>
    <row r="807" spans="1:6" x14ac:dyDescent="0.25">
      <c r="A807" s="35"/>
      <c r="C807" s="35"/>
      <c r="D807" s="35"/>
      <c r="E807" s="35"/>
      <c r="F807" s="268"/>
    </row>
    <row r="808" spans="1:6" x14ac:dyDescent="0.25">
      <c r="A808" s="35"/>
      <c r="C808" s="35"/>
      <c r="D808" s="35"/>
      <c r="E808" s="35"/>
      <c r="F808" s="268"/>
    </row>
    <row r="809" spans="1:6" x14ac:dyDescent="0.25">
      <c r="A809" s="35"/>
      <c r="C809" s="35"/>
      <c r="D809" s="35"/>
      <c r="E809" s="35"/>
      <c r="F809" s="268"/>
    </row>
    <row r="810" spans="1:6" x14ac:dyDescent="0.25">
      <c r="A810" s="35"/>
      <c r="C810" s="35"/>
      <c r="D810" s="35"/>
      <c r="E810" s="35"/>
      <c r="F810" s="268"/>
    </row>
    <row r="811" spans="1:6" x14ac:dyDescent="0.25">
      <c r="A811" s="35"/>
      <c r="C811" s="35"/>
      <c r="D811" s="35"/>
      <c r="E811" s="35"/>
      <c r="F811" s="268"/>
    </row>
    <row r="812" spans="1:6" x14ac:dyDescent="0.25">
      <c r="A812" s="35"/>
      <c r="C812" s="35"/>
      <c r="D812" s="35"/>
      <c r="E812" s="35"/>
      <c r="F812" s="268"/>
    </row>
    <row r="813" spans="1:6" x14ac:dyDescent="0.25">
      <c r="A813" s="35"/>
      <c r="C813" s="35"/>
      <c r="D813" s="35"/>
      <c r="E813" s="35"/>
      <c r="F813" s="268"/>
    </row>
    <row r="814" spans="1:6" x14ac:dyDescent="0.25">
      <c r="A814" s="35"/>
      <c r="C814" s="35"/>
      <c r="D814" s="35"/>
      <c r="E814" s="35"/>
      <c r="F814" s="268"/>
    </row>
    <row r="815" spans="1:6" x14ac:dyDescent="0.25">
      <c r="A815" s="35"/>
      <c r="C815" s="35"/>
      <c r="D815" s="35"/>
      <c r="E815" s="35"/>
      <c r="F815" s="268"/>
    </row>
    <row r="816" spans="1:6" x14ac:dyDescent="0.25">
      <c r="A816" s="35"/>
      <c r="C816" s="35"/>
      <c r="D816" s="35"/>
      <c r="E816" s="35"/>
      <c r="F816" s="268"/>
    </row>
    <row r="817" spans="1:6" x14ac:dyDescent="0.25">
      <c r="A817" s="35"/>
      <c r="C817" s="35"/>
      <c r="D817" s="35"/>
      <c r="E817" s="35"/>
      <c r="F817" s="268"/>
    </row>
    <row r="818" spans="1:6" x14ac:dyDescent="0.25">
      <c r="A818" s="35"/>
      <c r="C818" s="35"/>
      <c r="D818" s="35"/>
      <c r="E818" s="35"/>
      <c r="F818" s="268"/>
    </row>
    <row r="819" spans="1:6" x14ac:dyDescent="0.25">
      <c r="A819" s="35"/>
      <c r="C819" s="35"/>
      <c r="D819" s="35"/>
      <c r="E819" s="35"/>
      <c r="F819" s="268"/>
    </row>
    <row r="820" spans="1:6" x14ac:dyDescent="0.25">
      <c r="A820" s="35"/>
      <c r="C820" s="35"/>
      <c r="D820" s="35"/>
      <c r="E820" s="35"/>
      <c r="F820" s="268"/>
    </row>
    <row r="821" spans="1:6" x14ac:dyDescent="0.25">
      <c r="A821" s="35"/>
      <c r="C821" s="35"/>
      <c r="D821" s="35"/>
      <c r="E821" s="35"/>
      <c r="F821" s="268"/>
    </row>
    <row r="822" spans="1:6" x14ac:dyDescent="0.25">
      <c r="A822" s="35"/>
      <c r="C822" s="35"/>
      <c r="D822" s="35"/>
      <c r="E822" s="35"/>
      <c r="F822" s="268"/>
    </row>
    <row r="823" spans="1:6" x14ac:dyDescent="0.25">
      <c r="A823" s="35"/>
      <c r="C823" s="35"/>
      <c r="D823" s="35"/>
      <c r="E823" s="35"/>
      <c r="F823" s="268"/>
    </row>
    <row r="824" spans="1:6" x14ac:dyDescent="0.25">
      <c r="A824" s="35"/>
      <c r="C824" s="35"/>
      <c r="D824" s="35"/>
      <c r="E824" s="35"/>
      <c r="F824" s="268"/>
    </row>
    <row r="825" spans="1:6" x14ac:dyDescent="0.25">
      <c r="A825" s="35"/>
      <c r="C825" s="35"/>
      <c r="D825" s="35"/>
      <c r="E825" s="35"/>
      <c r="F825" s="268"/>
    </row>
    <row r="826" spans="1:6" x14ac:dyDescent="0.25">
      <c r="A826" s="35"/>
      <c r="C826" s="35"/>
      <c r="D826" s="35"/>
      <c r="E826" s="35"/>
      <c r="F826" s="268"/>
    </row>
    <row r="827" spans="1:6" x14ac:dyDescent="0.25">
      <c r="A827" s="35"/>
      <c r="C827" s="35"/>
      <c r="D827" s="35"/>
      <c r="E827" s="35"/>
      <c r="F827" s="268"/>
    </row>
    <row r="828" spans="1:6" x14ac:dyDescent="0.25">
      <c r="A828" s="35"/>
      <c r="C828" s="35"/>
      <c r="D828" s="35"/>
      <c r="E828" s="35"/>
      <c r="F828" s="268"/>
    </row>
    <row r="829" spans="1:6" x14ac:dyDescent="0.25">
      <c r="A829" s="35"/>
      <c r="C829" s="35"/>
      <c r="D829" s="35"/>
      <c r="E829" s="35"/>
      <c r="F829" s="268"/>
    </row>
    <row r="830" spans="1:6" x14ac:dyDescent="0.25">
      <c r="A830" s="35"/>
      <c r="C830" s="35"/>
      <c r="D830" s="35"/>
      <c r="E830" s="35"/>
      <c r="F830" s="268"/>
    </row>
    <row r="831" spans="1:6" x14ac:dyDescent="0.25">
      <c r="A831" s="35"/>
      <c r="C831" s="35"/>
      <c r="D831" s="35"/>
      <c r="E831" s="35"/>
      <c r="F831" s="268"/>
    </row>
    <row r="832" spans="1:6" x14ac:dyDescent="0.25">
      <c r="A832" s="35"/>
      <c r="C832" s="35"/>
      <c r="D832" s="35"/>
      <c r="E832" s="35"/>
      <c r="F832" s="268"/>
    </row>
    <row r="833" spans="1:6" x14ac:dyDescent="0.25">
      <c r="A833" s="35"/>
      <c r="C833" s="35"/>
      <c r="D833" s="35"/>
      <c r="E833" s="35"/>
      <c r="F833" s="268"/>
    </row>
    <row r="834" spans="1:6" x14ac:dyDescent="0.25">
      <c r="A834" s="35"/>
      <c r="C834" s="35"/>
      <c r="D834" s="35"/>
      <c r="E834" s="35"/>
      <c r="F834" s="268"/>
    </row>
    <row r="835" spans="1:6" x14ac:dyDescent="0.25">
      <c r="A835" s="35"/>
      <c r="C835" s="35"/>
      <c r="D835" s="35"/>
      <c r="E835" s="35"/>
      <c r="F835" s="268"/>
    </row>
    <row r="836" spans="1:6" x14ac:dyDescent="0.25">
      <c r="A836" s="35"/>
      <c r="C836" s="35"/>
      <c r="D836" s="35"/>
      <c r="E836" s="35"/>
      <c r="F836" s="268"/>
    </row>
    <row r="837" spans="1:6" x14ac:dyDescent="0.25">
      <c r="A837" s="35"/>
      <c r="C837" s="35"/>
      <c r="D837" s="35"/>
      <c r="E837" s="35"/>
      <c r="F837" s="268"/>
    </row>
    <row r="838" spans="1:6" x14ac:dyDescent="0.25">
      <c r="A838" s="35"/>
      <c r="C838" s="35"/>
      <c r="D838" s="35"/>
      <c r="E838" s="35"/>
      <c r="F838" s="268"/>
    </row>
    <row r="839" spans="1:6" x14ac:dyDescent="0.25">
      <c r="A839" s="35"/>
      <c r="C839" s="35"/>
      <c r="D839" s="35"/>
      <c r="E839" s="35"/>
      <c r="F839" s="268"/>
    </row>
    <row r="840" spans="1:6" x14ac:dyDescent="0.25">
      <c r="A840" s="35"/>
      <c r="C840" s="35"/>
      <c r="D840" s="35"/>
      <c r="E840" s="35"/>
      <c r="F840" s="268"/>
    </row>
    <row r="841" spans="1:6" x14ac:dyDescent="0.25">
      <c r="A841" s="35"/>
      <c r="C841" s="35"/>
      <c r="D841" s="35"/>
      <c r="E841" s="35"/>
      <c r="F841" s="268"/>
    </row>
    <row r="842" spans="1:6" x14ac:dyDescent="0.25">
      <c r="A842" s="35"/>
      <c r="C842" s="35"/>
      <c r="D842" s="35"/>
      <c r="E842" s="35"/>
      <c r="F842" s="268"/>
    </row>
    <row r="843" spans="1:6" x14ac:dyDescent="0.25">
      <c r="A843" s="35"/>
      <c r="C843" s="35"/>
      <c r="D843" s="35"/>
      <c r="E843" s="35"/>
      <c r="F843" s="268"/>
    </row>
    <row r="844" spans="1:6" x14ac:dyDescent="0.25">
      <c r="A844" s="35"/>
      <c r="C844" s="35"/>
      <c r="D844" s="35"/>
      <c r="E844" s="35"/>
      <c r="F844" s="268"/>
    </row>
    <row r="845" spans="1:6" x14ac:dyDescent="0.25">
      <c r="A845" s="35"/>
      <c r="C845" s="35"/>
      <c r="D845" s="35"/>
      <c r="E845" s="35"/>
      <c r="F845" s="268"/>
    </row>
    <row r="846" spans="1:6" x14ac:dyDescent="0.25">
      <c r="A846" s="35"/>
      <c r="C846" s="35"/>
      <c r="D846" s="35"/>
      <c r="E846" s="35"/>
      <c r="F846" s="268"/>
    </row>
    <row r="847" spans="1:6" x14ac:dyDescent="0.25">
      <c r="A847" s="35"/>
      <c r="C847" s="35"/>
      <c r="D847" s="35"/>
      <c r="E847" s="35"/>
      <c r="F847" s="268"/>
    </row>
    <row r="848" spans="1:6" x14ac:dyDescent="0.25">
      <c r="A848" s="35"/>
      <c r="C848" s="35"/>
      <c r="D848" s="35"/>
      <c r="E848" s="35"/>
      <c r="F848" s="268"/>
    </row>
    <row r="849" spans="1:6" x14ac:dyDescent="0.25">
      <c r="A849" s="35"/>
      <c r="C849" s="35"/>
      <c r="D849" s="35"/>
      <c r="E849" s="35"/>
      <c r="F849" s="268"/>
    </row>
    <row r="850" spans="1:6" x14ac:dyDescent="0.25">
      <c r="A850" s="35"/>
      <c r="C850" s="35"/>
      <c r="D850" s="35"/>
      <c r="E850" s="35"/>
      <c r="F850" s="268"/>
    </row>
    <row r="851" spans="1:6" x14ac:dyDescent="0.25">
      <c r="A851" s="35"/>
      <c r="C851" s="35"/>
      <c r="D851" s="35"/>
      <c r="E851" s="35"/>
      <c r="F851" s="268"/>
    </row>
    <row r="852" spans="1:6" x14ac:dyDescent="0.25">
      <c r="A852" s="35"/>
      <c r="C852" s="35"/>
      <c r="D852" s="35"/>
      <c r="E852" s="35"/>
      <c r="F852" s="268"/>
    </row>
    <row r="853" spans="1:6" x14ac:dyDescent="0.25">
      <c r="A853" s="35"/>
      <c r="C853" s="35"/>
      <c r="D853" s="35"/>
      <c r="E853" s="35"/>
      <c r="F853" s="268"/>
    </row>
    <row r="854" spans="1:6" x14ac:dyDescent="0.25">
      <c r="A854" s="35"/>
      <c r="C854" s="35"/>
      <c r="D854" s="35"/>
      <c r="E854" s="35"/>
      <c r="F854" s="268"/>
    </row>
    <row r="855" spans="1:6" x14ac:dyDescent="0.25">
      <c r="A855" s="35"/>
      <c r="C855" s="35"/>
      <c r="D855" s="35"/>
      <c r="E855" s="35"/>
      <c r="F855" s="268"/>
    </row>
    <row r="856" spans="1:6" x14ac:dyDescent="0.25">
      <c r="A856" s="35"/>
      <c r="C856" s="35"/>
      <c r="D856" s="35"/>
      <c r="E856" s="35"/>
      <c r="F856" s="268"/>
    </row>
    <row r="857" spans="1:6" x14ac:dyDescent="0.25">
      <c r="A857" s="35"/>
      <c r="C857" s="35"/>
      <c r="D857" s="35"/>
      <c r="E857" s="35"/>
      <c r="F857" s="268"/>
    </row>
    <row r="858" spans="1:6" x14ac:dyDescent="0.25">
      <c r="A858" s="35"/>
      <c r="C858" s="35"/>
      <c r="D858" s="35"/>
      <c r="E858" s="35"/>
      <c r="F858" s="268"/>
    </row>
    <row r="859" spans="1:6" x14ac:dyDescent="0.25">
      <c r="A859" s="35"/>
      <c r="C859" s="35"/>
      <c r="D859" s="35"/>
      <c r="E859" s="35"/>
      <c r="F859" s="268"/>
    </row>
    <row r="860" spans="1:6" x14ac:dyDescent="0.25">
      <c r="A860" s="35"/>
      <c r="C860" s="35"/>
      <c r="D860" s="35"/>
      <c r="E860" s="35"/>
      <c r="F860" s="268"/>
    </row>
    <row r="861" spans="1:6" x14ac:dyDescent="0.25">
      <c r="A861" s="35"/>
      <c r="C861" s="35"/>
      <c r="D861" s="35"/>
      <c r="E861" s="35"/>
      <c r="F861" s="268"/>
    </row>
    <row r="862" spans="1:6" x14ac:dyDescent="0.25">
      <c r="A862" s="35"/>
      <c r="C862" s="35"/>
      <c r="D862" s="35"/>
      <c r="E862" s="35"/>
      <c r="F862" s="268"/>
    </row>
    <row r="863" spans="1:6" x14ac:dyDescent="0.25">
      <c r="A863" s="35"/>
      <c r="C863" s="35"/>
      <c r="D863" s="35"/>
      <c r="E863" s="35"/>
      <c r="F863" s="268"/>
    </row>
    <row r="864" spans="1:6" x14ac:dyDescent="0.25">
      <c r="A864" s="35"/>
      <c r="C864" s="35"/>
      <c r="D864" s="35"/>
      <c r="E864" s="35"/>
      <c r="F864" s="268"/>
    </row>
    <row r="865" spans="1:6" x14ac:dyDescent="0.25">
      <c r="A865" s="35"/>
      <c r="C865" s="35"/>
      <c r="D865" s="35"/>
      <c r="E865" s="35"/>
      <c r="F865" s="268"/>
    </row>
    <row r="866" spans="1:6" x14ac:dyDescent="0.25">
      <c r="A866" s="35"/>
      <c r="C866" s="35"/>
      <c r="D866" s="35"/>
      <c r="E866" s="35"/>
      <c r="F866" s="268"/>
    </row>
    <row r="867" spans="1:6" x14ac:dyDescent="0.25">
      <c r="A867" s="35"/>
      <c r="C867" s="35"/>
      <c r="D867" s="35"/>
      <c r="E867" s="35"/>
      <c r="F867" s="268"/>
    </row>
    <row r="868" spans="1:6" x14ac:dyDescent="0.25">
      <c r="A868" s="35"/>
      <c r="C868" s="35"/>
      <c r="D868" s="35"/>
      <c r="E868" s="35"/>
      <c r="F868" s="268"/>
    </row>
    <row r="869" spans="1:6" x14ac:dyDescent="0.25">
      <c r="A869" s="35"/>
      <c r="C869" s="35"/>
      <c r="D869" s="35"/>
      <c r="E869" s="35"/>
      <c r="F869" s="268"/>
    </row>
    <row r="870" spans="1:6" x14ac:dyDescent="0.25">
      <c r="A870" s="35"/>
      <c r="C870" s="35"/>
      <c r="D870" s="35"/>
      <c r="E870" s="35"/>
      <c r="F870" s="268"/>
    </row>
    <row r="871" spans="1:6" x14ac:dyDescent="0.25">
      <c r="A871" s="35"/>
      <c r="C871" s="35"/>
      <c r="D871" s="35"/>
      <c r="E871" s="35"/>
      <c r="F871" s="268"/>
    </row>
    <row r="872" spans="1:6" x14ac:dyDescent="0.25">
      <c r="A872" s="35"/>
      <c r="C872" s="35"/>
      <c r="D872" s="35"/>
      <c r="E872" s="35"/>
      <c r="F872" s="268"/>
    </row>
    <row r="873" spans="1:6" x14ac:dyDescent="0.25">
      <c r="A873" s="35"/>
      <c r="C873" s="35"/>
      <c r="D873" s="35"/>
      <c r="E873" s="35"/>
      <c r="F873" s="268"/>
    </row>
    <row r="874" spans="1:6" x14ac:dyDescent="0.25">
      <c r="A874" s="35"/>
      <c r="C874" s="35"/>
      <c r="D874" s="35"/>
      <c r="E874" s="35"/>
      <c r="F874" s="268"/>
    </row>
    <row r="875" spans="1:6" x14ac:dyDescent="0.25">
      <c r="A875" s="35"/>
      <c r="C875" s="35"/>
      <c r="D875" s="35"/>
      <c r="E875" s="35"/>
      <c r="F875" s="268"/>
    </row>
    <row r="876" spans="1:6" x14ac:dyDescent="0.25">
      <c r="A876" s="35"/>
      <c r="C876" s="35"/>
      <c r="D876" s="35"/>
      <c r="E876" s="35"/>
      <c r="F876" s="268"/>
    </row>
    <row r="877" spans="1:6" x14ac:dyDescent="0.25">
      <c r="A877" s="35"/>
      <c r="C877" s="35"/>
      <c r="D877" s="35"/>
      <c r="E877" s="35"/>
      <c r="F877" s="268"/>
    </row>
    <row r="878" spans="1:6" x14ac:dyDescent="0.25">
      <c r="A878" s="35"/>
      <c r="C878" s="35"/>
      <c r="D878" s="35"/>
      <c r="E878" s="35"/>
      <c r="F878" s="268"/>
    </row>
    <row r="879" spans="1:6" x14ac:dyDescent="0.25">
      <c r="A879" s="35"/>
      <c r="C879" s="35"/>
      <c r="D879" s="35"/>
      <c r="E879" s="35"/>
      <c r="F879" s="268"/>
    </row>
    <row r="880" spans="1:6" x14ac:dyDescent="0.25">
      <c r="A880" s="35"/>
      <c r="C880" s="35"/>
      <c r="D880" s="35"/>
      <c r="E880" s="35"/>
      <c r="F880" s="268"/>
    </row>
    <row r="881" spans="1:6" x14ac:dyDescent="0.25">
      <c r="A881" s="35"/>
      <c r="C881" s="35"/>
      <c r="D881" s="35"/>
      <c r="E881" s="35"/>
      <c r="F881" s="268"/>
    </row>
    <row r="882" spans="1:6" x14ac:dyDescent="0.25">
      <c r="A882" s="35"/>
      <c r="C882" s="35"/>
      <c r="D882" s="35"/>
      <c r="E882" s="35"/>
      <c r="F882" s="268"/>
    </row>
    <row r="883" spans="1:6" x14ac:dyDescent="0.25">
      <c r="A883" s="35"/>
      <c r="C883" s="35"/>
      <c r="D883" s="35"/>
      <c r="E883" s="35"/>
      <c r="F883" s="268"/>
    </row>
    <row r="884" spans="1:6" x14ac:dyDescent="0.25">
      <c r="A884" s="35"/>
      <c r="C884" s="35"/>
      <c r="D884" s="35"/>
      <c r="E884" s="35"/>
      <c r="F884" s="268"/>
    </row>
    <row r="885" spans="1:6" x14ac:dyDescent="0.25">
      <c r="A885" s="35"/>
      <c r="C885" s="35"/>
      <c r="D885" s="35"/>
      <c r="E885" s="35"/>
      <c r="F885" s="268"/>
    </row>
    <row r="886" spans="1:6" x14ac:dyDescent="0.25">
      <c r="A886" s="35"/>
      <c r="C886" s="35"/>
      <c r="D886" s="35"/>
      <c r="E886" s="35"/>
      <c r="F886" s="268"/>
    </row>
    <row r="887" spans="1:6" x14ac:dyDescent="0.25">
      <c r="A887" s="35"/>
      <c r="C887" s="35"/>
      <c r="D887" s="35"/>
      <c r="E887" s="35"/>
      <c r="F887" s="268"/>
    </row>
    <row r="888" spans="1:6" x14ac:dyDescent="0.25">
      <c r="A888" s="35"/>
      <c r="C888" s="35"/>
      <c r="D888" s="35"/>
      <c r="E888" s="35"/>
      <c r="F888" s="268"/>
    </row>
    <row r="889" spans="1:6" x14ac:dyDescent="0.25">
      <c r="A889" s="35"/>
      <c r="C889" s="35"/>
      <c r="D889" s="35"/>
      <c r="E889" s="35"/>
      <c r="F889" s="268"/>
    </row>
    <row r="890" spans="1:6" x14ac:dyDescent="0.25">
      <c r="A890" s="35"/>
      <c r="C890" s="35"/>
      <c r="D890" s="35"/>
      <c r="E890" s="35"/>
      <c r="F890" s="268"/>
    </row>
    <row r="891" spans="1:6" x14ac:dyDescent="0.25">
      <c r="A891" s="35"/>
      <c r="C891" s="35"/>
      <c r="D891" s="35"/>
      <c r="E891" s="35"/>
      <c r="F891" s="268"/>
    </row>
    <row r="892" spans="1:6" x14ac:dyDescent="0.25">
      <c r="A892" s="35"/>
      <c r="C892" s="35"/>
      <c r="D892" s="35"/>
      <c r="E892" s="35"/>
      <c r="F892" s="268"/>
    </row>
    <row r="893" spans="1:6" x14ac:dyDescent="0.25">
      <c r="A893" s="35"/>
      <c r="C893" s="35"/>
      <c r="D893" s="35"/>
      <c r="E893" s="35"/>
      <c r="F893" s="268"/>
    </row>
    <row r="894" spans="1:6" x14ac:dyDescent="0.25">
      <c r="A894" s="35"/>
      <c r="C894" s="35"/>
      <c r="D894" s="35"/>
      <c r="E894" s="35"/>
      <c r="F894" s="268"/>
    </row>
    <row r="895" spans="1:6" x14ac:dyDescent="0.25">
      <c r="A895" s="35"/>
      <c r="C895" s="35"/>
      <c r="D895" s="35"/>
      <c r="E895" s="35"/>
      <c r="F895" s="268"/>
    </row>
    <row r="896" spans="1:6" x14ac:dyDescent="0.25">
      <c r="A896" s="35"/>
      <c r="C896" s="35"/>
      <c r="D896" s="35"/>
      <c r="E896" s="35"/>
      <c r="F896" s="268"/>
    </row>
    <row r="897" spans="1:6" x14ac:dyDescent="0.25">
      <c r="A897" s="35"/>
      <c r="C897" s="35"/>
      <c r="D897" s="35"/>
      <c r="E897" s="35"/>
      <c r="F897" s="268"/>
    </row>
    <row r="898" spans="1:6" x14ac:dyDescent="0.25">
      <c r="A898" s="35"/>
      <c r="C898" s="35"/>
      <c r="D898" s="35"/>
      <c r="E898" s="35"/>
      <c r="F898" s="268"/>
    </row>
    <row r="899" spans="1:6" x14ac:dyDescent="0.25">
      <c r="A899" s="35"/>
      <c r="C899" s="35"/>
      <c r="D899" s="35"/>
      <c r="E899" s="35"/>
      <c r="F899" s="268"/>
    </row>
    <row r="900" spans="1:6" x14ac:dyDescent="0.25">
      <c r="A900" s="35"/>
      <c r="C900" s="35"/>
      <c r="D900" s="35"/>
      <c r="E900" s="35"/>
      <c r="F900" s="268"/>
    </row>
    <row r="901" spans="1:6" x14ac:dyDescent="0.25">
      <c r="A901" s="35"/>
      <c r="C901" s="35"/>
      <c r="D901" s="35"/>
      <c r="E901" s="35"/>
      <c r="F901" s="268"/>
    </row>
    <row r="902" spans="1:6" x14ac:dyDescent="0.25">
      <c r="A902" s="35"/>
      <c r="C902" s="35"/>
      <c r="D902" s="35"/>
      <c r="E902" s="35"/>
      <c r="F902" s="268"/>
    </row>
    <row r="903" spans="1:6" x14ac:dyDescent="0.25">
      <c r="A903" s="35"/>
      <c r="C903" s="35"/>
      <c r="D903" s="35"/>
      <c r="E903" s="35"/>
      <c r="F903" s="268"/>
    </row>
    <row r="904" spans="1:6" x14ac:dyDescent="0.25">
      <c r="A904" s="35"/>
      <c r="C904" s="35"/>
      <c r="D904" s="35"/>
      <c r="E904" s="35"/>
      <c r="F904" s="268"/>
    </row>
    <row r="905" spans="1:6" x14ac:dyDescent="0.25">
      <c r="A905" s="35"/>
      <c r="C905" s="35"/>
      <c r="D905" s="35"/>
      <c r="E905" s="35"/>
      <c r="F905" s="268"/>
    </row>
    <row r="906" spans="1:6" x14ac:dyDescent="0.25">
      <c r="A906" s="35"/>
      <c r="C906" s="35"/>
      <c r="D906" s="35"/>
      <c r="E906" s="35"/>
      <c r="F906" s="268"/>
    </row>
    <row r="907" spans="1:6" x14ac:dyDescent="0.25">
      <c r="A907" s="35"/>
      <c r="C907" s="35"/>
      <c r="D907" s="35"/>
      <c r="E907" s="35"/>
      <c r="F907" s="268"/>
    </row>
    <row r="908" spans="1:6" x14ac:dyDescent="0.25">
      <c r="A908" s="35"/>
      <c r="C908" s="35"/>
      <c r="D908" s="35"/>
      <c r="E908" s="35"/>
      <c r="F908" s="268"/>
    </row>
    <row r="909" spans="1:6" x14ac:dyDescent="0.25">
      <c r="A909" s="35"/>
      <c r="C909" s="35"/>
      <c r="D909" s="35"/>
      <c r="E909" s="35"/>
      <c r="F909" s="268"/>
    </row>
    <row r="910" spans="1:6" x14ac:dyDescent="0.25">
      <c r="A910" s="35"/>
      <c r="C910" s="35"/>
      <c r="D910" s="35"/>
      <c r="E910" s="35"/>
      <c r="F910" s="268"/>
    </row>
    <row r="911" spans="1:6" x14ac:dyDescent="0.25">
      <c r="A911" s="35"/>
      <c r="C911" s="35"/>
      <c r="D911" s="35"/>
      <c r="E911" s="35"/>
      <c r="F911" s="268"/>
    </row>
    <row r="912" spans="1:6" x14ac:dyDescent="0.25">
      <c r="A912" s="35"/>
      <c r="C912" s="35"/>
      <c r="D912" s="35"/>
      <c r="E912" s="35"/>
      <c r="F912" s="268"/>
    </row>
    <row r="913" spans="1:6" x14ac:dyDescent="0.25">
      <c r="A913" s="35"/>
      <c r="C913" s="35"/>
      <c r="D913" s="35"/>
      <c r="E913" s="35"/>
      <c r="F913" s="268"/>
    </row>
    <row r="914" spans="1:6" x14ac:dyDescent="0.25">
      <c r="A914" s="35"/>
      <c r="C914" s="35"/>
      <c r="D914" s="35"/>
      <c r="E914" s="35"/>
      <c r="F914" s="268"/>
    </row>
    <row r="915" spans="1:6" x14ac:dyDescent="0.25">
      <c r="A915" s="35"/>
      <c r="C915" s="35"/>
      <c r="D915" s="35"/>
      <c r="E915" s="35"/>
      <c r="F915" s="268"/>
    </row>
    <row r="916" spans="1:6" x14ac:dyDescent="0.25">
      <c r="A916" s="35"/>
      <c r="C916" s="35"/>
      <c r="D916" s="35"/>
      <c r="E916" s="35"/>
      <c r="F916" s="268"/>
    </row>
    <row r="917" spans="1:6" x14ac:dyDescent="0.25">
      <c r="A917" s="35"/>
      <c r="C917" s="35"/>
      <c r="D917" s="35"/>
      <c r="E917" s="35"/>
      <c r="F917" s="268"/>
    </row>
    <row r="918" spans="1:6" x14ac:dyDescent="0.25">
      <c r="A918" s="35"/>
      <c r="C918" s="35"/>
      <c r="D918" s="35"/>
      <c r="E918" s="35"/>
      <c r="F918" s="268"/>
    </row>
    <row r="919" spans="1:6" x14ac:dyDescent="0.25">
      <c r="A919" s="35"/>
      <c r="C919" s="35"/>
      <c r="D919" s="35"/>
      <c r="E919" s="35"/>
      <c r="F919" s="268"/>
    </row>
    <row r="920" spans="1:6" x14ac:dyDescent="0.25">
      <c r="A920" s="35"/>
      <c r="C920" s="35"/>
      <c r="D920" s="35"/>
      <c r="E920" s="35"/>
      <c r="F920" s="268"/>
    </row>
    <row r="921" spans="1:6" x14ac:dyDescent="0.25">
      <c r="A921" s="35"/>
      <c r="C921" s="35"/>
      <c r="D921" s="35"/>
      <c r="E921" s="35"/>
      <c r="F921" s="268"/>
    </row>
    <row r="922" spans="1:6" x14ac:dyDescent="0.25">
      <c r="A922" s="35"/>
      <c r="C922" s="35"/>
      <c r="D922" s="35"/>
      <c r="E922" s="35"/>
      <c r="F922" s="268"/>
    </row>
    <row r="923" spans="1:6" x14ac:dyDescent="0.25">
      <c r="A923" s="35"/>
      <c r="C923" s="35"/>
      <c r="D923" s="35"/>
      <c r="E923" s="35"/>
      <c r="F923" s="268"/>
    </row>
    <row r="924" spans="1:6" x14ac:dyDescent="0.25">
      <c r="A924" s="35"/>
      <c r="C924" s="35"/>
      <c r="D924" s="35"/>
      <c r="E924" s="35"/>
      <c r="F924" s="268"/>
    </row>
    <row r="925" spans="1:6" x14ac:dyDescent="0.25">
      <c r="A925" s="35"/>
      <c r="C925" s="35"/>
      <c r="D925" s="35"/>
      <c r="E925" s="35"/>
      <c r="F925" s="268"/>
    </row>
    <row r="926" spans="1:6" x14ac:dyDescent="0.25">
      <c r="A926" s="35"/>
      <c r="C926" s="35"/>
      <c r="D926" s="35"/>
      <c r="E926" s="35"/>
      <c r="F926" s="268"/>
    </row>
    <row r="927" spans="1:6" x14ac:dyDescent="0.25">
      <c r="A927" s="35"/>
      <c r="C927" s="35"/>
      <c r="D927" s="35"/>
      <c r="E927" s="35"/>
      <c r="F927" s="268"/>
    </row>
    <row r="928" spans="1:6" x14ac:dyDescent="0.25">
      <c r="A928" s="35"/>
      <c r="C928" s="35"/>
      <c r="D928" s="35"/>
      <c r="E928" s="35"/>
      <c r="F928" s="268"/>
    </row>
    <row r="929" spans="1:6" x14ac:dyDescent="0.25">
      <c r="A929" s="35"/>
      <c r="C929" s="35"/>
      <c r="D929" s="35"/>
      <c r="E929" s="35"/>
      <c r="F929" s="268"/>
    </row>
    <row r="930" spans="1:6" x14ac:dyDescent="0.25">
      <c r="A930" s="35"/>
      <c r="C930" s="35"/>
      <c r="D930" s="35"/>
      <c r="E930" s="35"/>
      <c r="F930" s="268"/>
    </row>
    <row r="931" spans="1:6" x14ac:dyDescent="0.25">
      <c r="A931" s="35"/>
      <c r="C931" s="35"/>
      <c r="D931" s="35"/>
      <c r="E931" s="35"/>
      <c r="F931" s="268"/>
    </row>
    <row r="932" spans="1:6" x14ac:dyDescent="0.25">
      <c r="A932" s="35"/>
      <c r="C932" s="35"/>
      <c r="D932" s="35"/>
      <c r="E932" s="35"/>
      <c r="F932" s="268"/>
    </row>
    <row r="933" spans="1:6" x14ac:dyDescent="0.25">
      <c r="A933" s="35"/>
      <c r="C933" s="35"/>
      <c r="D933" s="35"/>
      <c r="E933" s="35"/>
      <c r="F933" s="268"/>
    </row>
    <row r="934" spans="1:6" x14ac:dyDescent="0.25">
      <c r="A934" s="35"/>
      <c r="C934" s="35"/>
      <c r="D934" s="35"/>
      <c r="E934" s="35"/>
      <c r="F934" s="268"/>
    </row>
    <row r="935" spans="1:6" x14ac:dyDescent="0.25">
      <c r="A935" s="35"/>
      <c r="C935" s="35"/>
      <c r="D935" s="35"/>
      <c r="E935" s="35"/>
      <c r="F935" s="268"/>
    </row>
    <row r="936" spans="1:6" x14ac:dyDescent="0.25">
      <c r="A936" s="35"/>
      <c r="C936" s="35"/>
      <c r="D936" s="35"/>
      <c r="E936" s="35"/>
      <c r="F936" s="268"/>
    </row>
    <row r="937" spans="1:6" x14ac:dyDescent="0.25">
      <c r="A937" s="35"/>
      <c r="C937" s="35"/>
      <c r="D937" s="35"/>
      <c r="E937" s="35"/>
      <c r="F937" s="268"/>
    </row>
    <row r="938" spans="1:6" x14ac:dyDescent="0.25">
      <c r="A938" s="35"/>
      <c r="C938" s="35"/>
      <c r="D938" s="35"/>
      <c r="E938" s="35"/>
      <c r="F938" s="268"/>
    </row>
    <row r="939" spans="1:6" x14ac:dyDescent="0.25">
      <c r="A939" s="35"/>
      <c r="C939" s="35"/>
      <c r="D939" s="35"/>
      <c r="E939" s="35"/>
      <c r="F939" s="268"/>
    </row>
    <row r="940" spans="1:6" x14ac:dyDescent="0.25">
      <c r="A940" s="35"/>
      <c r="C940" s="35"/>
      <c r="D940" s="35"/>
      <c r="E940" s="35"/>
      <c r="F940" s="268"/>
    </row>
    <row r="941" spans="1:6" x14ac:dyDescent="0.25">
      <c r="A941" s="35"/>
      <c r="C941" s="35"/>
      <c r="D941" s="35"/>
      <c r="E941" s="35"/>
      <c r="F941" s="268"/>
    </row>
    <row r="942" spans="1:6" x14ac:dyDescent="0.25">
      <c r="A942" s="35"/>
      <c r="C942" s="35"/>
      <c r="D942" s="35"/>
      <c r="E942" s="35"/>
      <c r="F942" s="268"/>
    </row>
    <row r="943" spans="1:6" x14ac:dyDescent="0.25">
      <c r="A943" s="35"/>
      <c r="C943" s="35"/>
      <c r="D943" s="35"/>
      <c r="E943" s="35"/>
      <c r="F943" s="268"/>
    </row>
    <row r="944" spans="1:6" x14ac:dyDescent="0.25">
      <c r="A944" s="35"/>
      <c r="C944" s="35"/>
      <c r="D944" s="35"/>
      <c r="E944" s="35"/>
      <c r="F944" s="268"/>
    </row>
    <row r="945" spans="1:6" x14ac:dyDescent="0.25">
      <c r="A945" s="35"/>
      <c r="C945" s="35"/>
      <c r="D945" s="35"/>
      <c r="E945" s="35"/>
      <c r="F945" s="268"/>
    </row>
    <row r="946" spans="1:6" x14ac:dyDescent="0.25">
      <c r="A946" s="35"/>
      <c r="C946" s="35"/>
      <c r="D946" s="35"/>
      <c r="E946" s="35"/>
      <c r="F946" s="268"/>
    </row>
    <row r="947" spans="1:6" x14ac:dyDescent="0.25">
      <c r="A947" s="35"/>
      <c r="C947" s="35"/>
      <c r="D947" s="35"/>
      <c r="E947" s="35"/>
      <c r="F947" s="268"/>
    </row>
    <row r="948" spans="1:6" x14ac:dyDescent="0.25">
      <c r="A948" s="35"/>
      <c r="C948" s="35"/>
      <c r="D948" s="35"/>
      <c r="E948" s="35"/>
      <c r="F948" s="268"/>
    </row>
    <row r="949" spans="1:6" x14ac:dyDescent="0.25">
      <c r="A949" s="35"/>
      <c r="C949" s="35"/>
      <c r="D949" s="35"/>
      <c r="E949" s="35"/>
      <c r="F949" s="268"/>
    </row>
    <row r="950" spans="1:6" x14ac:dyDescent="0.25">
      <c r="A950" s="35"/>
      <c r="C950" s="35"/>
      <c r="D950" s="35"/>
      <c r="E950" s="35"/>
      <c r="F950" s="268"/>
    </row>
    <row r="951" spans="1:6" x14ac:dyDescent="0.25">
      <c r="A951" s="35"/>
      <c r="C951" s="35"/>
      <c r="D951" s="35"/>
      <c r="E951" s="35"/>
      <c r="F951" s="268"/>
    </row>
    <row r="952" spans="1:6" x14ac:dyDescent="0.25">
      <c r="A952" s="35"/>
      <c r="C952" s="35"/>
      <c r="D952" s="35"/>
      <c r="E952" s="35"/>
      <c r="F952" s="268"/>
    </row>
    <row r="953" spans="1:6" x14ac:dyDescent="0.25">
      <c r="A953" s="35"/>
      <c r="C953" s="35"/>
      <c r="D953" s="35"/>
      <c r="E953" s="35"/>
      <c r="F953" s="268"/>
    </row>
    <row r="954" spans="1:6" x14ac:dyDescent="0.25">
      <c r="A954" s="35"/>
      <c r="C954" s="35"/>
      <c r="D954" s="35"/>
      <c r="E954" s="35"/>
      <c r="F954" s="268"/>
    </row>
    <row r="955" spans="1:6" x14ac:dyDescent="0.25">
      <c r="A955" s="35"/>
      <c r="C955" s="35"/>
      <c r="D955" s="35"/>
      <c r="E955" s="35"/>
      <c r="F955" s="268"/>
    </row>
    <row r="956" spans="1:6" x14ac:dyDescent="0.25">
      <c r="A956" s="35"/>
      <c r="C956" s="35"/>
      <c r="D956" s="35"/>
      <c r="E956" s="35"/>
      <c r="F956" s="268"/>
    </row>
    <row r="957" spans="1:6" x14ac:dyDescent="0.25">
      <c r="A957" s="35"/>
      <c r="C957" s="35"/>
      <c r="D957" s="35"/>
      <c r="E957" s="35"/>
      <c r="F957" s="268"/>
    </row>
    <row r="958" spans="1:6" x14ac:dyDescent="0.25">
      <c r="A958" s="35"/>
      <c r="C958" s="35"/>
      <c r="D958" s="35"/>
      <c r="E958" s="35"/>
      <c r="F958" s="268"/>
    </row>
    <row r="959" spans="1:6" x14ac:dyDescent="0.25">
      <c r="A959" s="35"/>
      <c r="C959" s="35"/>
      <c r="D959" s="35"/>
      <c r="E959" s="35"/>
      <c r="F959" s="268"/>
    </row>
    <row r="960" spans="1:6" x14ac:dyDescent="0.25">
      <c r="A960" s="35"/>
      <c r="C960" s="35"/>
      <c r="D960" s="35"/>
      <c r="E960" s="35"/>
      <c r="F960" s="268"/>
    </row>
    <row r="961" spans="1:6" x14ac:dyDescent="0.25">
      <c r="A961" s="35"/>
      <c r="C961" s="35"/>
      <c r="D961" s="35"/>
      <c r="E961" s="35"/>
      <c r="F961" s="268"/>
    </row>
    <row r="962" spans="1:6" x14ac:dyDescent="0.25">
      <c r="A962" s="35"/>
      <c r="C962" s="35"/>
      <c r="D962" s="35"/>
      <c r="E962" s="35"/>
      <c r="F962" s="268"/>
    </row>
    <row r="963" spans="1:6" x14ac:dyDescent="0.25">
      <c r="A963" s="35"/>
      <c r="C963" s="35"/>
      <c r="D963" s="35"/>
      <c r="E963" s="35"/>
      <c r="F963" s="268"/>
    </row>
    <row r="964" spans="1:6" x14ac:dyDescent="0.25">
      <c r="A964" s="35"/>
      <c r="C964" s="35"/>
      <c r="D964" s="35"/>
      <c r="E964" s="35"/>
      <c r="F964" s="268"/>
    </row>
    <row r="965" spans="1:6" x14ac:dyDescent="0.25">
      <c r="A965" s="35"/>
      <c r="C965" s="35"/>
      <c r="D965" s="35"/>
      <c r="E965" s="35"/>
      <c r="F965" s="268"/>
    </row>
    <row r="966" spans="1:6" x14ac:dyDescent="0.25">
      <c r="A966" s="35"/>
      <c r="C966" s="35"/>
      <c r="D966" s="35"/>
      <c r="E966" s="35"/>
      <c r="F966" s="268"/>
    </row>
    <row r="967" spans="1:6" x14ac:dyDescent="0.25">
      <c r="A967" s="35"/>
      <c r="C967" s="35"/>
      <c r="D967" s="35"/>
      <c r="E967" s="35"/>
      <c r="F967" s="268"/>
    </row>
    <row r="968" spans="1:6" x14ac:dyDescent="0.25">
      <c r="A968" s="35"/>
      <c r="C968" s="35"/>
      <c r="D968" s="35"/>
      <c r="E968" s="35"/>
      <c r="F968" s="268"/>
    </row>
    <row r="969" spans="1:6" x14ac:dyDescent="0.25">
      <c r="A969" s="35"/>
      <c r="C969" s="35"/>
      <c r="D969" s="35"/>
      <c r="E969" s="35"/>
      <c r="F969" s="268"/>
    </row>
    <row r="970" spans="1:6" x14ac:dyDescent="0.25">
      <c r="A970" s="35"/>
      <c r="C970" s="35"/>
      <c r="D970" s="35"/>
      <c r="E970" s="35"/>
      <c r="F970" s="268"/>
    </row>
    <row r="971" spans="1:6" x14ac:dyDescent="0.25">
      <c r="A971" s="35"/>
      <c r="C971" s="35"/>
      <c r="D971" s="35"/>
      <c r="E971" s="35"/>
      <c r="F971" s="268"/>
    </row>
    <row r="972" spans="1:6" x14ac:dyDescent="0.25">
      <c r="A972" s="35"/>
      <c r="C972" s="35"/>
      <c r="D972" s="35"/>
      <c r="E972" s="35"/>
      <c r="F972" s="268"/>
    </row>
    <row r="973" spans="1:6" x14ac:dyDescent="0.25">
      <c r="A973" s="35"/>
      <c r="C973" s="35"/>
      <c r="D973" s="35"/>
      <c r="E973" s="35"/>
      <c r="F973" s="268"/>
    </row>
    <row r="974" spans="1:6" x14ac:dyDescent="0.25">
      <c r="A974" s="35"/>
      <c r="C974" s="35"/>
      <c r="D974" s="35"/>
      <c r="E974" s="35"/>
      <c r="F974" s="268"/>
    </row>
    <row r="975" spans="1:6" x14ac:dyDescent="0.25">
      <c r="A975" s="35"/>
      <c r="C975" s="35"/>
      <c r="D975" s="35"/>
      <c r="E975" s="35"/>
      <c r="F975" s="268"/>
    </row>
    <row r="976" spans="1:6" x14ac:dyDescent="0.25">
      <c r="A976" s="35"/>
      <c r="C976" s="35"/>
      <c r="D976" s="35"/>
      <c r="E976" s="35"/>
      <c r="F976" s="268"/>
    </row>
    <row r="977" spans="1:6" x14ac:dyDescent="0.25">
      <c r="A977" s="35"/>
      <c r="C977" s="35"/>
      <c r="D977" s="35"/>
      <c r="E977" s="35"/>
      <c r="F977" s="268"/>
    </row>
    <row r="978" spans="1:6" x14ac:dyDescent="0.25">
      <c r="A978" s="35"/>
      <c r="C978" s="35"/>
      <c r="D978" s="35"/>
      <c r="E978" s="35"/>
      <c r="F978" s="268"/>
    </row>
    <row r="979" spans="1:6" x14ac:dyDescent="0.25">
      <c r="A979" s="35"/>
      <c r="C979" s="35"/>
      <c r="D979" s="35"/>
      <c r="E979" s="35"/>
      <c r="F979" s="268"/>
    </row>
    <row r="980" spans="1:6" x14ac:dyDescent="0.25">
      <c r="A980" s="35"/>
      <c r="C980" s="35"/>
      <c r="D980" s="35"/>
      <c r="E980" s="35"/>
      <c r="F980" s="268"/>
    </row>
    <row r="981" spans="1:6" x14ac:dyDescent="0.25">
      <c r="A981" s="35"/>
      <c r="C981" s="35"/>
      <c r="D981" s="35"/>
      <c r="E981" s="35"/>
      <c r="F981" s="268"/>
    </row>
    <row r="982" spans="1:6" x14ac:dyDescent="0.25">
      <c r="A982" s="35"/>
      <c r="C982" s="35"/>
      <c r="D982" s="35"/>
      <c r="E982" s="35"/>
      <c r="F982" s="268"/>
    </row>
    <row r="983" spans="1:6" x14ac:dyDescent="0.25">
      <c r="A983" s="35"/>
      <c r="C983" s="35"/>
      <c r="D983" s="35"/>
      <c r="E983" s="35"/>
      <c r="F983" s="268"/>
    </row>
    <row r="984" spans="1:6" x14ac:dyDescent="0.25">
      <c r="A984" s="35"/>
      <c r="C984" s="35"/>
      <c r="D984" s="35"/>
      <c r="E984" s="35"/>
      <c r="F984" s="268"/>
    </row>
    <row r="985" spans="1:6" x14ac:dyDescent="0.25">
      <c r="A985" s="35"/>
      <c r="C985" s="35"/>
      <c r="D985" s="35"/>
      <c r="E985" s="35"/>
      <c r="F985" s="268"/>
    </row>
    <row r="986" spans="1:6" x14ac:dyDescent="0.25">
      <c r="A986" s="35"/>
      <c r="C986" s="35"/>
      <c r="D986" s="35"/>
      <c r="E986" s="35"/>
      <c r="F986" s="268"/>
    </row>
    <row r="987" spans="1:6" x14ac:dyDescent="0.25">
      <c r="A987" s="35"/>
      <c r="C987" s="35"/>
      <c r="D987" s="35"/>
      <c r="E987" s="35"/>
      <c r="F987" s="268"/>
    </row>
    <row r="988" spans="1:6" x14ac:dyDescent="0.25">
      <c r="A988" s="35"/>
      <c r="C988" s="35"/>
      <c r="D988" s="35"/>
      <c r="E988" s="35"/>
      <c r="F988" s="268"/>
    </row>
    <row r="989" spans="1:6" x14ac:dyDescent="0.25">
      <c r="A989" s="35"/>
      <c r="C989" s="35"/>
      <c r="D989" s="35"/>
      <c r="E989" s="35"/>
      <c r="F989" s="268"/>
    </row>
    <row r="990" spans="1:6" x14ac:dyDescent="0.25">
      <c r="A990" s="35"/>
      <c r="C990" s="35"/>
      <c r="D990" s="35"/>
      <c r="E990" s="35"/>
      <c r="F990" s="268"/>
    </row>
    <row r="991" spans="1:6" x14ac:dyDescent="0.25">
      <c r="A991" s="35"/>
      <c r="C991" s="35"/>
      <c r="D991" s="35"/>
      <c r="E991" s="35"/>
      <c r="F991" s="268"/>
    </row>
    <row r="992" spans="1:6" x14ac:dyDescent="0.25">
      <c r="A992" s="35"/>
      <c r="C992" s="35"/>
      <c r="D992" s="35"/>
      <c r="E992" s="35"/>
      <c r="F992" s="268"/>
    </row>
    <row r="993" spans="1:6" x14ac:dyDescent="0.25">
      <c r="A993" s="35"/>
      <c r="C993" s="35"/>
      <c r="D993" s="35"/>
      <c r="E993" s="35"/>
      <c r="F993" s="268"/>
    </row>
    <row r="994" spans="1:6" x14ac:dyDescent="0.25">
      <c r="A994" s="35"/>
      <c r="C994" s="35"/>
      <c r="D994" s="35"/>
      <c r="E994" s="35"/>
      <c r="F994" s="268"/>
    </row>
    <row r="995" spans="1:6" x14ac:dyDescent="0.25">
      <c r="A995" s="35"/>
      <c r="C995" s="35"/>
      <c r="D995" s="35"/>
      <c r="E995" s="35"/>
      <c r="F995" s="268"/>
    </row>
    <row r="996" spans="1:6" x14ac:dyDescent="0.25">
      <c r="A996" s="35"/>
      <c r="C996" s="35"/>
      <c r="D996" s="35"/>
      <c r="E996" s="35"/>
      <c r="F996" s="268"/>
    </row>
    <row r="997" spans="1:6" x14ac:dyDescent="0.25">
      <c r="A997" s="35"/>
      <c r="C997" s="35"/>
      <c r="D997" s="35"/>
      <c r="E997" s="35"/>
      <c r="F997" s="268"/>
    </row>
    <row r="998" spans="1:6" x14ac:dyDescent="0.25">
      <c r="A998" s="35"/>
      <c r="C998" s="35"/>
      <c r="D998" s="35"/>
      <c r="E998" s="35"/>
      <c r="F998" s="268"/>
    </row>
    <row r="999" spans="1:6" x14ac:dyDescent="0.25">
      <c r="A999" s="35"/>
      <c r="C999" s="35"/>
      <c r="D999" s="35"/>
      <c r="E999" s="35"/>
      <c r="F999" s="268"/>
    </row>
    <row r="1000" spans="1:6" x14ac:dyDescent="0.25">
      <c r="A1000" s="35"/>
      <c r="C1000" s="35"/>
      <c r="D1000" s="35"/>
      <c r="E1000" s="35"/>
      <c r="F1000" s="268"/>
    </row>
    <row r="1001" spans="1:6" x14ac:dyDescent="0.25">
      <c r="A1001" s="35"/>
      <c r="C1001" s="35"/>
      <c r="D1001" s="35"/>
      <c r="E1001" s="35"/>
      <c r="F1001" s="268"/>
    </row>
    <row r="1002" spans="1:6" x14ac:dyDescent="0.25">
      <c r="A1002" s="35"/>
      <c r="C1002" s="35"/>
      <c r="D1002" s="35"/>
      <c r="E1002" s="35"/>
      <c r="F1002" s="268"/>
    </row>
    <row r="1003" spans="1:6" x14ac:dyDescent="0.25">
      <c r="A1003" s="35"/>
      <c r="C1003" s="35"/>
      <c r="D1003" s="35"/>
      <c r="E1003" s="35"/>
      <c r="F1003" s="268"/>
    </row>
    <row r="1004" spans="1:6" x14ac:dyDescent="0.25">
      <c r="A1004" s="35"/>
      <c r="C1004" s="35"/>
      <c r="D1004" s="35"/>
      <c r="E1004" s="35"/>
      <c r="F1004" s="268"/>
    </row>
    <row r="1005" spans="1:6" x14ac:dyDescent="0.25">
      <c r="A1005" s="35"/>
      <c r="C1005" s="35"/>
      <c r="D1005" s="35"/>
      <c r="E1005" s="35"/>
      <c r="F1005" s="268"/>
    </row>
    <row r="1006" spans="1:6" x14ac:dyDescent="0.25">
      <c r="A1006" s="35"/>
      <c r="C1006" s="35"/>
      <c r="D1006" s="35"/>
      <c r="E1006" s="35"/>
      <c r="F1006" s="268"/>
    </row>
    <row r="1007" spans="1:6" x14ac:dyDescent="0.25">
      <c r="A1007" s="35"/>
      <c r="C1007" s="35"/>
      <c r="D1007" s="35"/>
      <c r="E1007" s="35"/>
      <c r="F1007" s="268"/>
    </row>
    <row r="1008" spans="1:6" x14ac:dyDescent="0.25">
      <c r="A1008" s="35"/>
      <c r="C1008" s="35"/>
      <c r="D1008" s="35"/>
      <c r="E1008" s="35"/>
      <c r="F1008" s="268"/>
    </row>
    <row r="1009" spans="1:6" x14ac:dyDescent="0.25">
      <c r="A1009" s="35"/>
      <c r="C1009" s="35"/>
      <c r="D1009" s="35"/>
      <c r="E1009" s="35"/>
      <c r="F1009" s="268"/>
    </row>
    <row r="1010" spans="1:6" x14ac:dyDescent="0.25">
      <c r="A1010" s="35"/>
      <c r="C1010" s="35"/>
      <c r="D1010" s="35"/>
      <c r="E1010" s="35"/>
      <c r="F1010" s="268"/>
    </row>
    <row r="1011" spans="1:6" x14ac:dyDescent="0.25">
      <c r="A1011" s="35"/>
      <c r="C1011" s="35"/>
      <c r="D1011" s="35"/>
      <c r="E1011" s="35"/>
      <c r="F1011" s="268"/>
    </row>
    <row r="1012" spans="1:6" x14ac:dyDescent="0.25">
      <c r="A1012" s="35"/>
      <c r="C1012" s="35"/>
      <c r="D1012" s="35"/>
      <c r="E1012" s="35"/>
      <c r="F1012" s="268"/>
    </row>
    <row r="1013" spans="1:6" x14ac:dyDescent="0.25">
      <c r="A1013" s="35"/>
      <c r="C1013" s="35"/>
      <c r="D1013" s="35"/>
      <c r="E1013" s="35"/>
      <c r="F1013" s="268"/>
    </row>
    <row r="1014" spans="1:6" x14ac:dyDescent="0.25">
      <c r="A1014" s="35"/>
      <c r="C1014" s="35"/>
      <c r="D1014" s="35"/>
      <c r="E1014" s="35"/>
      <c r="F1014" s="268"/>
    </row>
    <row r="1015" spans="1:6" x14ac:dyDescent="0.25">
      <c r="A1015" s="35"/>
      <c r="C1015" s="35"/>
      <c r="D1015" s="35"/>
      <c r="E1015" s="35"/>
      <c r="F1015" s="268"/>
    </row>
    <row r="1016" spans="1:6" x14ac:dyDescent="0.25">
      <c r="A1016" s="35"/>
      <c r="C1016" s="35"/>
      <c r="D1016" s="35"/>
      <c r="E1016" s="35"/>
      <c r="F1016" s="268"/>
    </row>
    <row r="1017" spans="1:6" x14ac:dyDescent="0.25">
      <c r="A1017" s="35"/>
      <c r="C1017" s="35"/>
      <c r="D1017" s="35"/>
      <c r="E1017" s="35"/>
      <c r="F1017" s="268"/>
    </row>
    <row r="1018" spans="1:6" x14ac:dyDescent="0.25">
      <c r="A1018" s="35"/>
      <c r="C1018" s="35"/>
      <c r="D1018" s="35"/>
      <c r="E1018" s="35"/>
      <c r="F1018" s="268"/>
    </row>
    <row r="1019" spans="1:6" x14ac:dyDescent="0.25">
      <c r="A1019" s="35"/>
      <c r="C1019" s="35"/>
      <c r="D1019" s="35"/>
      <c r="E1019" s="35"/>
      <c r="F1019" s="268"/>
    </row>
    <row r="1020" spans="1:6" x14ac:dyDescent="0.25">
      <c r="A1020" s="35"/>
      <c r="C1020" s="35"/>
      <c r="D1020" s="35"/>
      <c r="E1020" s="35"/>
      <c r="F1020" s="268"/>
    </row>
    <row r="1021" spans="1:6" x14ac:dyDescent="0.25">
      <c r="A1021" s="35"/>
      <c r="C1021" s="35"/>
      <c r="D1021" s="35"/>
      <c r="E1021" s="35"/>
      <c r="F1021" s="268"/>
    </row>
    <row r="1022" spans="1:6" x14ac:dyDescent="0.25">
      <c r="A1022" s="35"/>
      <c r="C1022" s="35"/>
      <c r="D1022" s="35"/>
      <c r="E1022" s="35"/>
      <c r="F1022" s="268"/>
    </row>
    <row r="1023" spans="1:6" x14ac:dyDescent="0.25">
      <c r="A1023" s="35"/>
      <c r="C1023" s="35"/>
      <c r="D1023" s="35"/>
      <c r="E1023" s="35"/>
      <c r="F1023" s="268"/>
    </row>
    <row r="1024" spans="1:6" x14ac:dyDescent="0.25">
      <c r="A1024" s="35"/>
      <c r="C1024" s="35"/>
      <c r="D1024" s="35"/>
      <c r="E1024" s="35"/>
      <c r="F1024" s="268"/>
    </row>
    <row r="1025" spans="1:6" x14ac:dyDescent="0.25">
      <c r="A1025" s="35"/>
      <c r="C1025" s="35"/>
      <c r="D1025" s="35"/>
      <c r="E1025" s="35"/>
      <c r="F1025" s="268"/>
    </row>
    <row r="1026" spans="1:6" x14ac:dyDescent="0.25">
      <c r="A1026" s="35"/>
      <c r="C1026" s="35"/>
      <c r="D1026" s="35"/>
      <c r="E1026" s="35"/>
      <c r="F1026" s="268"/>
    </row>
    <row r="1027" spans="1:6" x14ac:dyDescent="0.25">
      <c r="A1027" s="35"/>
      <c r="C1027" s="35"/>
      <c r="D1027" s="35"/>
      <c r="E1027" s="35"/>
      <c r="F1027" s="268"/>
    </row>
    <row r="1028" spans="1:6" x14ac:dyDescent="0.25">
      <c r="A1028" s="35"/>
      <c r="C1028" s="35"/>
      <c r="D1028" s="35"/>
      <c r="E1028" s="35"/>
      <c r="F1028" s="268"/>
    </row>
    <row r="1029" spans="1:6" x14ac:dyDescent="0.25">
      <c r="A1029" s="35"/>
      <c r="C1029" s="35"/>
      <c r="D1029" s="35"/>
      <c r="E1029" s="35"/>
      <c r="F1029" s="268"/>
    </row>
    <row r="1030" spans="1:6" x14ac:dyDescent="0.25">
      <c r="A1030" s="35"/>
      <c r="C1030" s="35"/>
      <c r="D1030" s="35"/>
      <c r="E1030" s="35"/>
      <c r="F1030" s="268"/>
    </row>
    <row r="1031" spans="1:6" x14ac:dyDescent="0.25">
      <c r="A1031" s="35"/>
      <c r="C1031" s="35"/>
      <c r="D1031" s="35"/>
      <c r="E1031" s="35"/>
      <c r="F1031" s="268"/>
    </row>
    <row r="1032" spans="1:6" x14ac:dyDescent="0.25">
      <c r="A1032" s="35"/>
      <c r="C1032" s="35"/>
      <c r="D1032" s="35"/>
      <c r="E1032" s="35"/>
      <c r="F1032" s="268"/>
    </row>
    <row r="1033" spans="1:6" x14ac:dyDescent="0.25">
      <c r="A1033" s="35"/>
      <c r="C1033" s="35"/>
      <c r="D1033" s="35"/>
      <c r="E1033" s="35"/>
      <c r="F1033" s="268"/>
    </row>
    <row r="1034" spans="1:6" x14ac:dyDescent="0.25">
      <c r="A1034" s="35"/>
      <c r="C1034" s="35"/>
      <c r="D1034" s="35"/>
      <c r="E1034" s="35"/>
      <c r="F1034" s="268"/>
    </row>
    <row r="1035" spans="1:6" x14ac:dyDescent="0.25">
      <c r="A1035" s="35"/>
      <c r="C1035" s="35"/>
      <c r="D1035" s="35"/>
      <c r="E1035" s="35"/>
      <c r="F1035" s="268"/>
    </row>
    <row r="1036" spans="1:6" x14ac:dyDescent="0.25">
      <c r="A1036" s="35"/>
      <c r="C1036" s="35"/>
      <c r="D1036" s="35"/>
      <c r="E1036" s="35"/>
      <c r="F1036" s="268"/>
    </row>
    <row r="1037" spans="1:6" x14ac:dyDescent="0.25">
      <c r="A1037" s="35"/>
      <c r="C1037" s="35"/>
      <c r="D1037" s="35"/>
      <c r="E1037" s="35"/>
      <c r="F1037" s="268"/>
    </row>
    <row r="1038" spans="1:6" x14ac:dyDescent="0.25">
      <c r="A1038" s="35"/>
      <c r="C1038" s="35"/>
      <c r="D1038" s="35"/>
      <c r="E1038" s="35"/>
      <c r="F1038" s="268"/>
    </row>
    <row r="1039" spans="1:6" x14ac:dyDescent="0.25">
      <c r="A1039" s="35"/>
      <c r="C1039" s="35"/>
      <c r="D1039" s="35"/>
      <c r="E1039" s="35"/>
      <c r="F1039" s="268"/>
    </row>
    <row r="1040" spans="1:6" x14ac:dyDescent="0.25">
      <c r="A1040" s="35"/>
      <c r="C1040" s="35"/>
      <c r="D1040" s="35"/>
      <c r="E1040" s="35"/>
      <c r="F1040" s="268"/>
    </row>
    <row r="1041" spans="1:6" x14ac:dyDescent="0.25">
      <c r="A1041" s="35"/>
      <c r="C1041" s="35"/>
      <c r="D1041" s="35"/>
      <c r="E1041" s="35"/>
      <c r="F1041" s="268"/>
    </row>
    <row r="1042" spans="1:6" x14ac:dyDescent="0.25">
      <c r="A1042" s="35"/>
      <c r="C1042" s="35"/>
      <c r="D1042" s="35"/>
      <c r="E1042" s="35"/>
      <c r="F1042" s="268"/>
    </row>
    <row r="1043" spans="1:6" x14ac:dyDescent="0.25">
      <c r="A1043" s="35"/>
      <c r="C1043" s="35"/>
      <c r="D1043" s="35"/>
      <c r="E1043" s="35"/>
      <c r="F1043" s="268"/>
    </row>
    <row r="1044" spans="1:6" x14ac:dyDescent="0.25">
      <c r="A1044" s="35"/>
      <c r="C1044" s="35"/>
      <c r="D1044" s="35"/>
      <c r="E1044" s="35"/>
      <c r="F1044" s="268"/>
    </row>
    <row r="1045" spans="1:6" x14ac:dyDescent="0.25">
      <c r="A1045" s="35"/>
      <c r="C1045" s="35"/>
      <c r="D1045" s="35"/>
      <c r="E1045" s="35"/>
      <c r="F1045" s="268"/>
    </row>
    <row r="1046" spans="1:6" x14ac:dyDescent="0.25">
      <c r="A1046" s="35"/>
      <c r="C1046" s="35"/>
      <c r="D1046" s="35"/>
      <c r="E1046" s="35"/>
      <c r="F1046" s="268"/>
    </row>
    <row r="1047" spans="1:6" x14ac:dyDescent="0.25">
      <c r="A1047" s="35"/>
      <c r="C1047" s="35"/>
      <c r="D1047" s="35"/>
      <c r="E1047" s="35"/>
      <c r="F1047" s="268"/>
    </row>
    <row r="1048" spans="1:6" x14ac:dyDescent="0.25">
      <c r="A1048" s="35"/>
      <c r="C1048" s="35"/>
      <c r="D1048" s="35"/>
      <c r="E1048" s="35"/>
      <c r="F1048" s="268"/>
    </row>
    <row r="1049" spans="1:6" x14ac:dyDescent="0.25">
      <c r="A1049" s="35"/>
      <c r="C1049" s="35"/>
      <c r="D1049" s="35"/>
      <c r="E1049" s="35"/>
      <c r="F1049" s="268"/>
    </row>
    <row r="1050" spans="1:6" x14ac:dyDescent="0.25">
      <c r="A1050" s="35"/>
      <c r="C1050" s="35"/>
      <c r="D1050" s="35"/>
      <c r="E1050" s="35"/>
      <c r="F1050" s="268"/>
    </row>
    <row r="1051" spans="1:6" x14ac:dyDescent="0.25">
      <c r="A1051" s="35"/>
      <c r="C1051" s="35"/>
      <c r="D1051" s="35"/>
      <c r="E1051" s="35"/>
      <c r="F1051" s="268"/>
    </row>
    <row r="1052" spans="1:6" x14ac:dyDescent="0.25">
      <c r="A1052" s="35"/>
      <c r="C1052" s="35"/>
      <c r="D1052" s="35"/>
      <c r="E1052" s="35"/>
      <c r="F1052" s="268"/>
    </row>
    <row r="1053" spans="1:6" x14ac:dyDescent="0.25">
      <c r="A1053" s="35"/>
      <c r="C1053" s="35"/>
      <c r="D1053" s="35"/>
      <c r="E1053" s="35"/>
      <c r="F1053" s="268"/>
    </row>
    <row r="1054" spans="1:6" x14ac:dyDescent="0.25">
      <c r="A1054" s="35"/>
      <c r="C1054" s="35"/>
      <c r="D1054" s="35"/>
      <c r="E1054" s="35"/>
      <c r="F1054" s="268"/>
    </row>
    <row r="1055" spans="1:6" x14ac:dyDescent="0.25">
      <c r="A1055" s="35"/>
      <c r="C1055" s="35"/>
      <c r="D1055" s="35"/>
      <c r="E1055" s="35"/>
      <c r="F1055" s="268"/>
    </row>
    <row r="1056" spans="1:6" x14ac:dyDescent="0.25">
      <c r="A1056" s="35"/>
      <c r="C1056" s="35"/>
      <c r="D1056" s="35"/>
      <c r="E1056" s="35"/>
      <c r="F1056" s="268"/>
    </row>
    <row r="1057" spans="1:6" x14ac:dyDescent="0.25">
      <c r="A1057" s="35"/>
      <c r="C1057" s="35"/>
      <c r="D1057" s="35"/>
      <c r="E1057" s="35"/>
      <c r="F1057" s="268"/>
    </row>
    <row r="1058" spans="1:6" x14ac:dyDescent="0.25">
      <c r="A1058" s="35"/>
      <c r="C1058" s="35"/>
      <c r="D1058" s="35"/>
      <c r="E1058" s="35"/>
      <c r="F1058" s="268"/>
    </row>
    <row r="1059" spans="1:6" x14ac:dyDescent="0.25">
      <c r="A1059" s="35"/>
      <c r="C1059" s="35"/>
      <c r="D1059" s="35"/>
      <c r="E1059" s="35"/>
      <c r="F1059" s="268"/>
    </row>
    <row r="1060" spans="1:6" x14ac:dyDescent="0.25">
      <c r="A1060" s="35"/>
      <c r="C1060" s="35"/>
      <c r="D1060" s="35"/>
      <c r="E1060" s="35"/>
      <c r="F1060" s="268"/>
    </row>
    <row r="1061" spans="1:6" x14ac:dyDescent="0.25">
      <c r="A1061" s="35"/>
      <c r="C1061" s="35"/>
      <c r="D1061" s="35"/>
      <c r="E1061" s="35"/>
      <c r="F1061" s="268"/>
    </row>
    <row r="1062" spans="1:6" x14ac:dyDescent="0.25">
      <c r="A1062" s="35"/>
      <c r="C1062" s="35"/>
      <c r="D1062" s="35"/>
      <c r="E1062" s="35"/>
      <c r="F1062" s="268"/>
    </row>
    <row r="1063" spans="1:6" x14ac:dyDescent="0.25">
      <c r="A1063" s="35"/>
      <c r="C1063" s="35"/>
      <c r="D1063" s="35"/>
      <c r="E1063" s="35"/>
      <c r="F1063" s="268"/>
    </row>
    <row r="1064" spans="1:6" x14ac:dyDescent="0.25">
      <c r="A1064" s="35"/>
      <c r="C1064" s="35"/>
      <c r="D1064" s="35"/>
      <c r="E1064" s="35"/>
      <c r="F1064" s="268"/>
    </row>
    <row r="1065" spans="1:6" x14ac:dyDescent="0.25">
      <c r="A1065" s="35"/>
      <c r="C1065" s="35"/>
      <c r="D1065" s="35"/>
      <c r="E1065" s="35"/>
      <c r="F1065" s="268"/>
    </row>
    <row r="1066" spans="1:6" x14ac:dyDescent="0.25">
      <c r="A1066" s="35"/>
      <c r="C1066" s="35"/>
      <c r="D1066" s="35"/>
      <c r="E1066" s="35"/>
      <c r="F1066" s="268"/>
    </row>
    <row r="1067" spans="1:6" x14ac:dyDescent="0.25">
      <c r="A1067" s="35"/>
      <c r="C1067" s="35"/>
      <c r="D1067" s="35"/>
      <c r="E1067" s="35"/>
      <c r="F1067" s="268"/>
    </row>
    <row r="1068" spans="1:6" x14ac:dyDescent="0.25">
      <c r="A1068" s="35"/>
      <c r="C1068" s="35"/>
      <c r="D1068" s="35"/>
      <c r="E1068" s="35"/>
      <c r="F1068" s="268"/>
    </row>
    <row r="1069" spans="1:6" x14ac:dyDescent="0.25">
      <c r="A1069" s="35"/>
      <c r="C1069" s="35"/>
      <c r="D1069" s="35"/>
      <c r="E1069" s="35"/>
      <c r="F1069" s="268"/>
    </row>
    <row r="1070" spans="1:6" x14ac:dyDescent="0.25">
      <c r="A1070" s="35"/>
      <c r="C1070" s="35"/>
      <c r="D1070" s="35"/>
      <c r="E1070" s="35"/>
      <c r="F1070" s="268"/>
    </row>
    <row r="1071" spans="1:6" x14ac:dyDescent="0.25">
      <c r="A1071" s="35"/>
      <c r="C1071" s="35"/>
      <c r="D1071" s="35"/>
      <c r="E1071" s="35"/>
      <c r="F1071" s="268"/>
    </row>
    <row r="1072" spans="1:6" x14ac:dyDescent="0.25">
      <c r="A1072" s="35"/>
      <c r="C1072" s="35"/>
      <c r="D1072" s="35"/>
      <c r="E1072" s="35"/>
      <c r="F1072" s="268"/>
    </row>
    <row r="1073" spans="1:6" x14ac:dyDescent="0.25">
      <c r="A1073" s="35"/>
      <c r="C1073" s="35"/>
      <c r="D1073" s="35"/>
      <c r="E1073" s="35"/>
      <c r="F1073" s="268"/>
    </row>
    <row r="1074" spans="1:6" x14ac:dyDescent="0.25">
      <c r="A1074" s="35"/>
      <c r="C1074" s="35"/>
      <c r="D1074" s="35"/>
      <c r="E1074" s="35"/>
      <c r="F1074" s="268"/>
    </row>
    <row r="1075" spans="1:6" x14ac:dyDescent="0.25">
      <c r="A1075" s="35"/>
      <c r="C1075" s="35"/>
      <c r="D1075" s="35"/>
      <c r="E1075" s="35"/>
      <c r="F1075" s="268"/>
    </row>
    <row r="1076" spans="1:6" x14ac:dyDescent="0.25">
      <c r="A1076" s="35"/>
      <c r="C1076" s="35"/>
      <c r="D1076" s="35"/>
      <c r="E1076" s="35"/>
      <c r="F1076" s="268"/>
    </row>
    <row r="1077" spans="1:6" x14ac:dyDescent="0.25">
      <c r="A1077" s="35"/>
      <c r="C1077" s="35"/>
      <c r="D1077" s="35"/>
      <c r="E1077" s="35"/>
      <c r="F1077" s="268"/>
    </row>
    <row r="1078" spans="1:6" x14ac:dyDescent="0.25">
      <c r="A1078" s="35"/>
      <c r="C1078" s="35"/>
      <c r="D1078" s="35"/>
      <c r="E1078" s="35"/>
      <c r="F1078" s="268"/>
    </row>
    <row r="1079" spans="1:6" x14ac:dyDescent="0.25">
      <c r="A1079" s="35"/>
      <c r="C1079" s="35"/>
      <c r="D1079" s="35"/>
      <c r="E1079" s="35"/>
      <c r="F1079" s="268"/>
    </row>
    <row r="1080" spans="1:6" x14ac:dyDescent="0.25">
      <c r="A1080" s="35"/>
      <c r="C1080" s="35"/>
      <c r="D1080" s="35"/>
      <c r="E1080" s="35"/>
      <c r="F1080" s="268"/>
    </row>
    <row r="1081" spans="1:6" x14ac:dyDescent="0.25">
      <c r="A1081" s="35"/>
      <c r="C1081" s="35"/>
      <c r="D1081" s="35"/>
      <c r="E1081" s="35"/>
      <c r="F1081" s="268"/>
    </row>
    <row r="1082" spans="1:6" x14ac:dyDescent="0.25">
      <c r="A1082" s="35"/>
      <c r="C1082" s="35"/>
      <c r="D1082" s="35"/>
      <c r="E1082" s="35"/>
      <c r="F1082" s="268"/>
    </row>
    <row r="1083" spans="1:6" x14ac:dyDescent="0.25">
      <c r="A1083" s="35"/>
      <c r="C1083" s="35"/>
      <c r="D1083" s="35"/>
      <c r="E1083" s="35"/>
      <c r="F1083" s="268"/>
    </row>
    <row r="1084" spans="1:6" x14ac:dyDescent="0.25">
      <c r="A1084" s="35"/>
      <c r="C1084" s="35"/>
      <c r="D1084" s="35"/>
      <c r="E1084" s="35"/>
      <c r="F1084" s="268"/>
    </row>
    <row r="1085" spans="1:6" x14ac:dyDescent="0.25">
      <c r="A1085" s="35"/>
      <c r="C1085" s="35"/>
      <c r="D1085" s="35"/>
      <c r="E1085" s="35"/>
      <c r="F1085" s="268"/>
    </row>
    <row r="1086" spans="1:6" x14ac:dyDescent="0.25">
      <c r="A1086" s="35"/>
      <c r="C1086" s="35"/>
      <c r="D1086" s="35"/>
      <c r="E1086" s="35"/>
      <c r="F1086" s="268"/>
    </row>
    <row r="1087" spans="1:6" x14ac:dyDescent="0.25">
      <c r="A1087" s="35"/>
      <c r="C1087" s="35"/>
      <c r="D1087" s="35"/>
      <c r="E1087" s="35"/>
      <c r="F1087" s="268"/>
    </row>
    <row r="1088" spans="1:6" x14ac:dyDescent="0.25">
      <c r="A1088" s="35"/>
      <c r="C1088" s="35"/>
      <c r="D1088" s="35"/>
      <c r="E1088" s="35"/>
      <c r="F1088" s="268"/>
    </row>
    <row r="1089" spans="1:6" x14ac:dyDescent="0.25">
      <c r="A1089" s="35"/>
      <c r="C1089" s="35"/>
      <c r="D1089" s="35"/>
      <c r="E1089" s="35"/>
      <c r="F1089" s="268"/>
    </row>
    <row r="1090" spans="1:6" x14ac:dyDescent="0.25">
      <c r="A1090" s="35"/>
      <c r="C1090" s="35"/>
      <c r="D1090" s="35"/>
      <c r="E1090" s="35"/>
      <c r="F1090" s="268"/>
    </row>
    <row r="1091" spans="1:6" x14ac:dyDescent="0.25">
      <c r="A1091" s="35"/>
      <c r="C1091" s="35"/>
      <c r="D1091" s="35"/>
      <c r="E1091" s="35"/>
      <c r="F1091" s="268"/>
    </row>
    <row r="1092" spans="1:6" x14ac:dyDescent="0.25">
      <c r="A1092" s="35"/>
      <c r="C1092" s="35"/>
      <c r="D1092" s="35"/>
      <c r="E1092" s="35"/>
      <c r="F1092" s="268"/>
    </row>
    <row r="1093" spans="1:6" x14ac:dyDescent="0.25">
      <c r="A1093" s="35"/>
      <c r="C1093" s="35"/>
      <c r="D1093" s="35"/>
      <c r="E1093" s="35"/>
      <c r="F1093" s="268"/>
    </row>
    <row r="1094" spans="1:6" x14ac:dyDescent="0.25">
      <c r="A1094" s="35"/>
      <c r="C1094" s="35"/>
      <c r="D1094" s="35"/>
      <c r="E1094" s="35"/>
      <c r="F1094" s="268"/>
    </row>
    <row r="1095" spans="1:6" x14ac:dyDescent="0.25">
      <c r="A1095" s="35"/>
      <c r="C1095" s="35"/>
      <c r="D1095" s="35"/>
      <c r="E1095" s="35"/>
      <c r="F1095" s="268"/>
    </row>
    <row r="1096" spans="1:6" x14ac:dyDescent="0.25">
      <c r="A1096" s="35"/>
      <c r="C1096" s="35"/>
      <c r="D1096" s="35"/>
      <c r="E1096" s="35"/>
      <c r="F1096" s="268"/>
    </row>
    <row r="1097" spans="1:6" x14ac:dyDescent="0.25">
      <c r="A1097" s="35"/>
      <c r="C1097" s="35"/>
      <c r="D1097" s="35"/>
      <c r="E1097" s="35"/>
      <c r="F1097" s="268"/>
    </row>
    <row r="1098" spans="1:6" x14ac:dyDescent="0.25">
      <c r="A1098" s="35"/>
      <c r="C1098" s="35"/>
      <c r="D1098" s="35"/>
      <c r="E1098" s="35"/>
      <c r="F1098" s="268"/>
    </row>
    <row r="1099" spans="1:6" x14ac:dyDescent="0.25">
      <c r="A1099" s="35"/>
      <c r="C1099" s="35"/>
      <c r="D1099" s="35"/>
      <c r="E1099" s="35"/>
      <c r="F1099" s="268"/>
    </row>
    <row r="1100" spans="1:6" x14ac:dyDescent="0.25">
      <c r="A1100" s="35"/>
      <c r="C1100" s="35"/>
      <c r="D1100" s="35"/>
      <c r="E1100" s="35"/>
      <c r="F1100" s="268"/>
    </row>
    <row r="1101" spans="1:6" x14ac:dyDescent="0.25">
      <c r="A1101" s="35"/>
      <c r="C1101" s="35"/>
      <c r="D1101" s="35"/>
      <c r="E1101" s="35"/>
      <c r="F1101" s="268"/>
    </row>
    <row r="1102" spans="1:6" x14ac:dyDescent="0.25">
      <c r="A1102" s="35"/>
      <c r="C1102" s="35"/>
      <c r="D1102" s="35"/>
      <c r="E1102" s="35"/>
      <c r="F1102" s="268"/>
    </row>
    <row r="1103" spans="1:6" x14ac:dyDescent="0.25">
      <c r="A1103" s="35"/>
      <c r="C1103" s="35"/>
      <c r="D1103" s="35"/>
      <c r="E1103" s="35"/>
      <c r="F1103" s="268"/>
    </row>
    <row r="1104" spans="1:6" x14ac:dyDescent="0.25">
      <c r="A1104" s="35"/>
      <c r="C1104" s="35"/>
      <c r="D1104" s="35"/>
      <c r="E1104" s="35"/>
      <c r="F1104" s="268"/>
    </row>
    <row r="1105" spans="1:6" x14ac:dyDescent="0.25">
      <c r="A1105" s="35"/>
      <c r="C1105" s="35"/>
      <c r="D1105" s="35"/>
      <c r="E1105" s="35"/>
      <c r="F1105" s="268"/>
    </row>
    <row r="1106" spans="1:6" x14ac:dyDescent="0.25">
      <c r="A1106" s="35"/>
      <c r="C1106" s="35"/>
      <c r="D1106" s="35"/>
      <c r="E1106" s="35"/>
      <c r="F1106" s="268"/>
    </row>
    <row r="1107" spans="1:6" x14ac:dyDescent="0.25">
      <c r="A1107" s="35"/>
      <c r="C1107" s="35"/>
      <c r="D1107" s="35"/>
      <c r="E1107" s="35"/>
      <c r="F1107" s="268"/>
    </row>
    <row r="1108" spans="1:6" x14ac:dyDescent="0.25">
      <c r="A1108" s="35"/>
      <c r="C1108" s="35"/>
      <c r="D1108" s="35"/>
      <c r="E1108" s="35"/>
      <c r="F1108" s="268"/>
    </row>
    <row r="1109" spans="1:6" x14ac:dyDescent="0.25">
      <c r="A1109" s="35"/>
      <c r="C1109" s="35"/>
      <c r="D1109" s="35"/>
      <c r="E1109" s="35"/>
      <c r="F1109" s="268"/>
    </row>
    <row r="1110" spans="1:6" x14ac:dyDescent="0.25">
      <c r="A1110" s="35"/>
      <c r="C1110" s="35"/>
      <c r="D1110" s="35"/>
      <c r="E1110" s="35"/>
      <c r="F1110" s="268"/>
    </row>
    <row r="1111" spans="1:6" x14ac:dyDescent="0.25">
      <c r="A1111" s="35"/>
      <c r="C1111" s="35"/>
      <c r="D1111" s="35"/>
      <c r="E1111" s="35"/>
      <c r="F1111" s="268"/>
    </row>
    <row r="1112" spans="1:6" x14ac:dyDescent="0.25">
      <c r="A1112" s="35"/>
      <c r="C1112" s="35"/>
      <c r="D1112" s="35"/>
      <c r="E1112" s="35"/>
      <c r="F1112" s="268"/>
    </row>
    <row r="1113" spans="1:6" x14ac:dyDescent="0.25">
      <c r="A1113" s="35"/>
      <c r="C1113" s="35"/>
      <c r="D1113" s="35"/>
      <c r="E1113" s="35"/>
      <c r="F1113" s="268"/>
    </row>
    <row r="1114" spans="1:6" x14ac:dyDescent="0.25">
      <c r="A1114" s="35"/>
      <c r="C1114" s="35"/>
      <c r="D1114" s="35"/>
      <c r="E1114" s="35"/>
      <c r="F1114" s="268"/>
    </row>
    <row r="1115" spans="1:6" x14ac:dyDescent="0.25">
      <c r="A1115" s="35"/>
      <c r="C1115" s="35"/>
      <c r="D1115" s="35"/>
      <c r="E1115" s="35"/>
      <c r="F1115" s="268"/>
    </row>
    <row r="1116" spans="1:6" x14ac:dyDescent="0.25">
      <c r="A1116" s="35"/>
      <c r="C1116" s="35"/>
      <c r="D1116" s="35"/>
      <c r="E1116" s="35"/>
      <c r="F1116" s="268"/>
    </row>
    <row r="1117" spans="1:6" x14ac:dyDescent="0.25">
      <c r="A1117" s="35"/>
      <c r="C1117" s="35"/>
      <c r="D1117" s="35"/>
      <c r="E1117" s="35"/>
      <c r="F1117" s="268"/>
    </row>
    <row r="1118" spans="1:6" x14ac:dyDescent="0.25">
      <c r="A1118" s="35"/>
      <c r="C1118" s="35"/>
      <c r="D1118" s="35"/>
      <c r="E1118" s="35"/>
      <c r="F1118" s="268"/>
    </row>
    <row r="1119" spans="1:6" x14ac:dyDescent="0.25">
      <c r="A1119" s="35"/>
      <c r="C1119" s="35"/>
      <c r="D1119" s="35"/>
      <c r="E1119" s="35"/>
      <c r="F1119" s="268"/>
    </row>
    <row r="1120" spans="1:6" x14ac:dyDescent="0.25">
      <c r="A1120" s="35"/>
      <c r="C1120" s="35"/>
      <c r="D1120" s="35"/>
      <c r="E1120" s="35"/>
      <c r="F1120" s="268"/>
    </row>
    <row r="1121" spans="1:6" x14ac:dyDescent="0.25">
      <c r="A1121" s="35"/>
      <c r="C1121" s="35"/>
      <c r="D1121" s="35"/>
      <c r="E1121" s="35"/>
      <c r="F1121" s="268"/>
    </row>
    <row r="1122" spans="1:6" x14ac:dyDescent="0.25">
      <c r="A1122" s="35"/>
      <c r="C1122" s="35"/>
      <c r="D1122" s="35"/>
      <c r="E1122" s="35"/>
      <c r="F1122" s="268"/>
    </row>
    <row r="1123" spans="1:6" x14ac:dyDescent="0.25">
      <c r="A1123" s="35"/>
      <c r="C1123" s="35"/>
      <c r="D1123" s="35"/>
      <c r="E1123" s="35"/>
      <c r="F1123" s="268"/>
    </row>
    <row r="1124" spans="1:6" x14ac:dyDescent="0.25">
      <c r="A1124" s="35"/>
      <c r="C1124" s="35"/>
      <c r="D1124" s="35"/>
      <c r="E1124" s="35"/>
      <c r="F1124" s="268"/>
    </row>
    <row r="1125" spans="1:6" x14ac:dyDescent="0.25">
      <c r="A1125" s="35"/>
      <c r="C1125" s="35"/>
      <c r="D1125" s="35"/>
      <c r="E1125" s="35"/>
      <c r="F1125" s="268"/>
    </row>
    <row r="1126" spans="1:6" x14ac:dyDescent="0.25">
      <c r="A1126" s="35"/>
      <c r="C1126" s="35"/>
      <c r="D1126" s="35"/>
      <c r="E1126" s="35"/>
      <c r="F1126" s="268"/>
    </row>
    <row r="1127" spans="1:6" x14ac:dyDescent="0.25">
      <c r="A1127" s="35"/>
      <c r="C1127" s="35"/>
      <c r="D1127" s="35"/>
      <c r="E1127" s="35"/>
      <c r="F1127" s="268"/>
    </row>
    <row r="1128" spans="1:6" x14ac:dyDescent="0.25">
      <c r="A1128" s="35"/>
      <c r="C1128" s="35"/>
      <c r="D1128" s="35"/>
      <c r="E1128" s="35"/>
      <c r="F1128" s="268"/>
    </row>
    <row r="1129" spans="1:6" x14ac:dyDescent="0.25">
      <c r="A1129" s="35"/>
      <c r="C1129" s="35"/>
      <c r="D1129" s="35"/>
      <c r="E1129" s="35"/>
      <c r="F1129" s="268"/>
    </row>
    <row r="1130" spans="1:6" x14ac:dyDescent="0.25">
      <c r="A1130" s="35"/>
      <c r="C1130" s="35"/>
      <c r="D1130" s="35"/>
      <c r="E1130" s="35"/>
      <c r="F1130" s="268"/>
    </row>
    <row r="1131" spans="1:6" x14ac:dyDescent="0.25">
      <c r="A1131" s="35"/>
      <c r="C1131" s="35"/>
      <c r="D1131" s="35"/>
      <c r="E1131" s="35"/>
      <c r="F1131" s="268"/>
    </row>
    <row r="1132" spans="1:6" x14ac:dyDescent="0.25">
      <c r="A1132" s="35"/>
      <c r="C1132" s="35"/>
      <c r="D1132" s="35"/>
      <c r="E1132" s="35"/>
      <c r="F1132" s="268"/>
    </row>
    <row r="1133" spans="1:6" x14ac:dyDescent="0.25">
      <c r="A1133" s="35"/>
      <c r="C1133" s="35"/>
      <c r="D1133" s="35"/>
      <c r="E1133" s="35"/>
      <c r="F1133" s="268"/>
    </row>
    <row r="1134" spans="1:6" x14ac:dyDescent="0.25">
      <c r="A1134" s="35"/>
      <c r="C1134" s="35"/>
      <c r="D1134" s="35"/>
      <c r="E1134" s="35"/>
      <c r="F1134" s="268"/>
    </row>
    <row r="1135" spans="1:6" x14ac:dyDescent="0.25">
      <c r="A1135" s="35"/>
      <c r="C1135" s="35"/>
      <c r="D1135" s="35"/>
      <c r="E1135" s="35"/>
      <c r="F1135" s="268"/>
    </row>
    <row r="1136" spans="1:6" x14ac:dyDescent="0.25">
      <c r="A1136" s="35"/>
      <c r="C1136" s="35"/>
      <c r="D1136" s="35"/>
      <c r="E1136" s="35"/>
      <c r="F1136" s="268"/>
    </row>
    <row r="1137" spans="1:6" x14ac:dyDescent="0.25">
      <c r="A1137" s="35"/>
      <c r="C1137" s="35"/>
      <c r="D1137" s="35"/>
      <c r="E1137" s="35"/>
      <c r="F1137" s="268"/>
    </row>
    <row r="1138" spans="1:6" x14ac:dyDescent="0.25">
      <c r="A1138" s="35"/>
      <c r="C1138" s="35"/>
      <c r="D1138" s="35"/>
      <c r="E1138" s="35"/>
      <c r="F1138" s="268"/>
    </row>
    <row r="1139" spans="1:6" x14ac:dyDescent="0.25">
      <c r="A1139" s="35"/>
      <c r="C1139" s="35"/>
      <c r="D1139" s="35"/>
      <c r="E1139" s="35"/>
      <c r="F1139" s="268"/>
    </row>
    <row r="1140" spans="1:6" x14ac:dyDescent="0.25">
      <c r="A1140" s="35"/>
      <c r="C1140" s="35"/>
      <c r="D1140" s="35"/>
      <c r="E1140" s="35"/>
      <c r="F1140" s="268"/>
    </row>
    <row r="1141" spans="1:6" x14ac:dyDescent="0.25">
      <c r="A1141" s="35"/>
      <c r="C1141" s="35"/>
      <c r="D1141" s="35"/>
      <c r="E1141" s="35"/>
      <c r="F1141" s="268"/>
    </row>
    <row r="1142" spans="1:6" x14ac:dyDescent="0.25">
      <c r="A1142" s="35"/>
      <c r="C1142" s="35"/>
      <c r="D1142" s="35"/>
      <c r="E1142" s="35"/>
      <c r="F1142" s="268"/>
    </row>
    <row r="1143" spans="1:6" x14ac:dyDescent="0.25">
      <c r="A1143" s="35"/>
      <c r="C1143" s="35"/>
      <c r="D1143" s="35"/>
      <c r="E1143" s="35"/>
      <c r="F1143" s="268"/>
    </row>
    <row r="1144" spans="1:6" x14ac:dyDescent="0.25">
      <c r="A1144" s="35"/>
      <c r="C1144" s="35"/>
      <c r="D1144" s="35"/>
      <c r="E1144" s="35"/>
      <c r="F1144" s="268"/>
    </row>
    <row r="1145" spans="1:6" x14ac:dyDescent="0.25">
      <c r="A1145" s="35"/>
      <c r="C1145" s="35"/>
      <c r="D1145" s="35"/>
      <c r="E1145" s="35"/>
      <c r="F1145" s="268"/>
    </row>
    <row r="1146" spans="1:6" x14ac:dyDescent="0.25">
      <c r="A1146" s="35"/>
      <c r="C1146" s="35"/>
      <c r="D1146" s="35"/>
      <c r="E1146" s="35"/>
      <c r="F1146" s="268"/>
    </row>
    <row r="1147" spans="1:6" x14ac:dyDescent="0.25">
      <c r="A1147" s="35"/>
      <c r="C1147" s="35"/>
      <c r="D1147" s="35"/>
      <c r="E1147" s="35"/>
      <c r="F1147" s="268"/>
    </row>
    <row r="1148" spans="1:6" x14ac:dyDescent="0.25">
      <c r="A1148" s="35"/>
      <c r="C1148" s="35"/>
      <c r="D1148" s="35"/>
      <c r="E1148" s="35"/>
      <c r="F1148" s="268"/>
    </row>
    <row r="1149" spans="1:6" x14ac:dyDescent="0.25">
      <c r="A1149" s="35"/>
      <c r="C1149" s="35"/>
      <c r="D1149" s="35"/>
      <c r="E1149" s="35"/>
      <c r="F1149" s="268"/>
    </row>
    <row r="1150" spans="1:6" x14ac:dyDescent="0.25">
      <c r="A1150" s="35"/>
      <c r="C1150" s="35"/>
      <c r="D1150" s="35"/>
      <c r="E1150" s="35"/>
      <c r="F1150" s="268"/>
    </row>
    <row r="1151" spans="1:6" x14ac:dyDescent="0.25">
      <c r="A1151" s="35"/>
      <c r="C1151" s="35"/>
      <c r="D1151" s="35"/>
      <c r="E1151" s="35"/>
      <c r="F1151" s="268"/>
    </row>
    <row r="1152" spans="1:6" x14ac:dyDescent="0.25">
      <c r="A1152" s="35"/>
      <c r="C1152" s="35"/>
      <c r="D1152" s="35"/>
      <c r="E1152" s="35"/>
      <c r="F1152" s="268"/>
    </row>
    <row r="1153" spans="1:6" x14ac:dyDescent="0.25">
      <c r="A1153" s="35"/>
      <c r="C1153" s="35"/>
      <c r="D1153" s="35"/>
      <c r="E1153" s="35"/>
      <c r="F1153" s="268"/>
    </row>
    <row r="1154" spans="1:6" x14ac:dyDescent="0.25">
      <c r="A1154" s="35"/>
      <c r="C1154" s="35"/>
      <c r="D1154" s="35"/>
      <c r="E1154" s="35"/>
      <c r="F1154" s="268"/>
    </row>
    <row r="1155" spans="1:6" x14ac:dyDescent="0.25">
      <c r="A1155" s="35"/>
      <c r="C1155" s="35"/>
      <c r="D1155" s="35"/>
      <c r="E1155" s="35"/>
      <c r="F1155" s="268"/>
    </row>
    <row r="1156" spans="1:6" x14ac:dyDescent="0.25">
      <c r="A1156" s="35"/>
      <c r="C1156" s="35"/>
      <c r="D1156" s="35"/>
      <c r="E1156" s="35"/>
      <c r="F1156" s="268"/>
    </row>
    <row r="1157" spans="1:6" x14ac:dyDescent="0.25">
      <c r="A1157" s="35"/>
      <c r="C1157" s="35"/>
      <c r="D1157" s="35"/>
      <c r="E1157" s="35"/>
      <c r="F1157" s="268"/>
    </row>
    <row r="1158" spans="1:6" x14ac:dyDescent="0.25">
      <c r="A1158" s="35"/>
      <c r="C1158" s="35"/>
      <c r="D1158" s="35"/>
      <c r="E1158" s="35"/>
      <c r="F1158" s="268"/>
    </row>
    <row r="1159" spans="1:6" x14ac:dyDescent="0.25">
      <c r="A1159" s="35"/>
      <c r="C1159" s="35"/>
      <c r="D1159" s="35"/>
      <c r="E1159" s="35"/>
      <c r="F1159" s="268"/>
    </row>
    <row r="1160" spans="1:6" x14ac:dyDescent="0.25">
      <c r="A1160" s="35"/>
      <c r="C1160" s="35"/>
      <c r="D1160" s="35"/>
      <c r="E1160" s="35"/>
      <c r="F1160" s="268"/>
    </row>
    <row r="1161" spans="1:6" x14ac:dyDescent="0.25">
      <c r="A1161" s="35"/>
      <c r="C1161" s="35"/>
      <c r="D1161" s="35"/>
      <c r="E1161" s="35"/>
      <c r="F1161" s="268"/>
    </row>
    <row r="1162" spans="1:6" x14ac:dyDescent="0.25">
      <c r="A1162" s="35"/>
      <c r="C1162" s="35"/>
      <c r="D1162" s="35"/>
      <c r="E1162" s="35"/>
      <c r="F1162" s="268"/>
    </row>
    <row r="1163" spans="1:6" x14ac:dyDescent="0.25">
      <c r="A1163" s="35"/>
      <c r="C1163" s="35"/>
      <c r="D1163" s="35"/>
      <c r="E1163" s="35"/>
      <c r="F1163" s="268"/>
    </row>
    <row r="1164" spans="1:6" x14ac:dyDescent="0.25">
      <c r="A1164" s="35"/>
      <c r="C1164" s="35"/>
      <c r="D1164" s="35"/>
      <c r="E1164" s="35"/>
      <c r="F1164" s="268"/>
    </row>
    <row r="1165" spans="1:6" x14ac:dyDescent="0.25">
      <c r="A1165" s="35"/>
      <c r="C1165" s="35"/>
      <c r="D1165" s="35"/>
      <c r="E1165" s="35"/>
      <c r="F1165" s="268"/>
    </row>
    <row r="1166" spans="1:6" x14ac:dyDescent="0.25">
      <c r="A1166" s="35"/>
      <c r="C1166" s="35"/>
      <c r="D1166" s="35"/>
      <c r="E1166" s="35"/>
      <c r="F1166" s="268"/>
    </row>
    <row r="1167" spans="1:6" x14ac:dyDescent="0.25">
      <c r="A1167" s="35"/>
      <c r="C1167" s="35"/>
      <c r="D1167" s="35"/>
      <c r="E1167" s="35"/>
      <c r="F1167" s="268"/>
    </row>
    <row r="1168" spans="1:6" x14ac:dyDescent="0.25">
      <c r="A1168" s="35"/>
      <c r="C1168" s="35"/>
      <c r="D1168" s="35"/>
      <c r="E1168" s="35"/>
      <c r="F1168" s="268"/>
    </row>
    <row r="1169" spans="1:6" x14ac:dyDescent="0.25">
      <c r="A1169" s="35"/>
      <c r="C1169" s="35"/>
      <c r="D1169" s="35"/>
      <c r="E1169" s="35"/>
      <c r="F1169" s="268"/>
    </row>
    <row r="1170" spans="1:6" x14ac:dyDescent="0.25">
      <c r="A1170" s="35"/>
      <c r="C1170" s="35"/>
      <c r="D1170" s="35"/>
      <c r="E1170" s="35"/>
      <c r="F1170" s="268"/>
    </row>
    <row r="1171" spans="1:6" x14ac:dyDescent="0.25">
      <c r="A1171" s="35"/>
      <c r="C1171" s="35"/>
      <c r="D1171" s="35"/>
      <c r="E1171" s="35"/>
      <c r="F1171" s="268"/>
    </row>
    <row r="1172" spans="1:6" x14ac:dyDescent="0.25">
      <c r="A1172" s="35"/>
      <c r="C1172" s="35"/>
      <c r="D1172" s="35"/>
      <c r="E1172" s="35"/>
      <c r="F1172" s="268"/>
    </row>
    <row r="1173" spans="1:6" x14ac:dyDescent="0.25">
      <c r="A1173" s="35"/>
      <c r="C1173" s="35"/>
      <c r="D1173" s="35"/>
      <c r="E1173" s="35"/>
      <c r="F1173" s="268"/>
    </row>
    <row r="1174" spans="1:6" x14ac:dyDescent="0.25">
      <c r="A1174" s="35"/>
      <c r="C1174" s="35"/>
      <c r="D1174" s="35"/>
      <c r="E1174" s="35"/>
      <c r="F1174" s="268"/>
    </row>
    <row r="1175" spans="1:6" x14ac:dyDescent="0.25">
      <c r="A1175" s="35"/>
      <c r="C1175" s="35"/>
      <c r="D1175" s="35"/>
      <c r="E1175" s="35"/>
      <c r="F1175" s="268"/>
    </row>
    <row r="1176" spans="1:6" x14ac:dyDescent="0.25">
      <c r="A1176" s="35"/>
      <c r="C1176" s="35"/>
      <c r="D1176" s="35"/>
      <c r="E1176" s="35"/>
      <c r="F1176" s="268"/>
    </row>
    <row r="1177" spans="1:6" x14ac:dyDescent="0.25">
      <c r="A1177" s="35"/>
      <c r="C1177" s="35"/>
      <c r="D1177" s="35"/>
      <c r="E1177" s="35"/>
      <c r="F1177" s="268"/>
    </row>
    <row r="1178" spans="1:6" x14ac:dyDescent="0.25">
      <c r="A1178" s="35"/>
      <c r="C1178" s="35"/>
      <c r="D1178" s="35"/>
      <c r="E1178" s="35"/>
      <c r="F1178" s="268"/>
    </row>
    <row r="1179" spans="1:6" x14ac:dyDescent="0.25">
      <c r="A1179" s="35"/>
      <c r="C1179" s="35"/>
      <c r="D1179" s="35"/>
      <c r="E1179" s="35"/>
      <c r="F1179" s="268"/>
    </row>
    <row r="1180" spans="1:6" x14ac:dyDescent="0.25">
      <c r="A1180" s="35"/>
      <c r="C1180" s="35"/>
      <c r="D1180" s="35"/>
      <c r="E1180" s="35"/>
      <c r="F1180" s="268"/>
    </row>
    <row r="1181" spans="1:6" x14ac:dyDescent="0.25">
      <c r="A1181" s="35"/>
      <c r="C1181" s="35"/>
      <c r="D1181" s="35"/>
      <c r="E1181" s="35"/>
      <c r="F1181" s="268"/>
    </row>
    <row r="1182" spans="1:6" x14ac:dyDescent="0.25">
      <c r="A1182" s="35"/>
      <c r="C1182" s="35"/>
      <c r="D1182" s="35"/>
      <c r="E1182" s="35"/>
      <c r="F1182" s="268"/>
    </row>
    <row r="1183" spans="1:6" x14ac:dyDescent="0.25">
      <c r="A1183" s="35"/>
      <c r="C1183" s="35"/>
      <c r="D1183" s="35"/>
      <c r="E1183" s="35"/>
      <c r="F1183" s="268"/>
    </row>
    <row r="1184" spans="1:6" x14ac:dyDescent="0.25">
      <c r="A1184" s="35"/>
      <c r="C1184" s="35"/>
      <c r="D1184" s="35"/>
      <c r="E1184" s="35"/>
      <c r="F1184" s="268"/>
    </row>
    <row r="1185" spans="1:6" x14ac:dyDescent="0.25">
      <c r="A1185" s="35"/>
      <c r="C1185" s="35"/>
      <c r="D1185" s="35"/>
      <c r="E1185" s="35"/>
      <c r="F1185" s="268"/>
    </row>
    <row r="1186" spans="1:6" x14ac:dyDescent="0.25">
      <c r="A1186" s="35"/>
      <c r="C1186" s="35"/>
      <c r="D1186" s="35"/>
      <c r="E1186" s="35"/>
      <c r="F1186" s="268"/>
    </row>
    <row r="1187" spans="1:6" x14ac:dyDescent="0.25">
      <c r="A1187" s="35"/>
      <c r="C1187" s="35"/>
      <c r="D1187" s="35"/>
      <c r="E1187" s="35"/>
      <c r="F1187" s="268"/>
    </row>
    <row r="1188" spans="1:6" x14ac:dyDescent="0.25">
      <c r="A1188" s="35"/>
      <c r="C1188" s="35"/>
      <c r="D1188" s="35"/>
      <c r="E1188" s="35"/>
      <c r="F1188" s="268"/>
    </row>
    <row r="1189" spans="1:6" x14ac:dyDescent="0.25">
      <c r="A1189" s="35"/>
      <c r="C1189" s="35"/>
      <c r="D1189" s="35"/>
      <c r="E1189" s="35"/>
      <c r="F1189" s="268"/>
    </row>
    <row r="1190" spans="1:6" x14ac:dyDescent="0.25">
      <c r="A1190" s="35"/>
      <c r="C1190" s="35"/>
      <c r="D1190" s="35"/>
      <c r="E1190" s="35"/>
      <c r="F1190" s="268"/>
    </row>
    <row r="1191" spans="1:6" x14ac:dyDescent="0.25">
      <c r="A1191" s="35"/>
      <c r="C1191" s="35"/>
      <c r="D1191" s="35"/>
      <c r="E1191" s="35"/>
      <c r="F1191" s="268"/>
    </row>
    <row r="1192" spans="1:6" x14ac:dyDescent="0.25">
      <c r="A1192" s="35"/>
      <c r="C1192" s="35"/>
      <c r="D1192" s="35"/>
      <c r="E1192" s="35"/>
      <c r="F1192" s="268"/>
    </row>
    <row r="1193" spans="1:6" x14ac:dyDescent="0.25">
      <c r="A1193" s="35"/>
      <c r="C1193" s="35"/>
      <c r="D1193" s="35"/>
      <c r="E1193" s="35"/>
      <c r="F1193" s="268"/>
    </row>
    <row r="1194" spans="1:6" x14ac:dyDescent="0.25">
      <c r="A1194" s="35"/>
      <c r="C1194" s="35"/>
      <c r="D1194" s="35"/>
      <c r="E1194" s="35"/>
      <c r="F1194" s="268"/>
    </row>
    <row r="1195" spans="1:6" x14ac:dyDescent="0.25">
      <c r="A1195" s="35"/>
      <c r="C1195" s="35"/>
      <c r="D1195" s="35"/>
      <c r="E1195" s="35"/>
      <c r="F1195" s="268"/>
    </row>
    <row r="1196" spans="1:6" x14ac:dyDescent="0.25">
      <c r="A1196" s="35"/>
      <c r="C1196" s="35"/>
      <c r="D1196" s="35"/>
      <c r="E1196" s="35"/>
      <c r="F1196" s="268"/>
    </row>
    <row r="1197" spans="1:6" x14ac:dyDescent="0.25">
      <c r="A1197" s="35"/>
      <c r="C1197" s="35"/>
      <c r="D1197" s="35"/>
      <c r="E1197" s="35"/>
      <c r="F1197" s="268"/>
    </row>
    <row r="1198" spans="1:6" x14ac:dyDescent="0.25">
      <c r="A1198" s="35"/>
      <c r="C1198" s="35"/>
      <c r="D1198" s="35"/>
      <c r="E1198" s="35"/>
      <c r="F1198" s="268"/>
    </row>
    <row r="1199" spans="1:6" x14ac:dyDescent="0.25">
      <c r="A1199" s="35"/>
      <c r="C1199" s="35"/>
      <c r="D1199" s="35"/>
      <c r="E1199" s="35"/>
      <c r="F1199" s="268"/>
    </row>
    <row r="1200" spans="1:6" x14ac:dyDescent="0.25">
      <c r="A1200" s="35"/>
      <c r="C1200" s="35"/>
      <c r="D1200" s="35"/>
      <c r="E1200" s="35"/>
      <c r="F1200" s="268"/>
    </row>
    <row r="1201" spans="1:6" x14ac:dyDescent="0.25">
      <c r="A1201" s="35"/>
      <c r="C1201" s="35"/>
      <c r="D1201" s="35"/>
      <c r="E1201" s="35"/>
      <c r="F1201" s="268"/>
    </row>
    <row r="1202" spans="1:6" x14ac:dyDescent="0.25">
      <c r="A1202" s="35"/>
      <c r="C1202" s="35"/>
      <c r="D1202" s="35"/>
      <c r="E1202" s="35"/>
      <c r="F1202" s="268"/>
    </row>
    <row r="1203" spans="1:6" x14ac:dyDescent="0.25">
      <c r="A1203" s="35"/>
      <c r="C1203" s="35"/>
      <c r="D1203" s="35"/>
      <c r="E1203" s="35"/>
      <c r="F1203" s="268"/>
    </row>
    <row r="1204" spans="1:6" x14ac:dyDescent="0.25">
      <c r="A1204" s="35"/>
      <c r="C1204" s="35"/>
      <c r="D1204" s="35"/>
      <c r="E1204" s="35"/>
      <c r="F1204" s="268"/>
    </row>
    <row r="1205" spans="1:6" x14ac:dyDescent="0.25">
      <c r="A1205" s="35"/>
      <c r="C1205" s="35"/>
      <c r="D1205" s="35"/>
      <c r="E1205" s="35"/>
      <c r="F1205" s="268"/>
    </row>
    <row r="1206" spans="1:6" x14ac:dyDescent="0.25">
      <c r="A1206" s="35"/>
      <c r="C1206" s="35"/>
      <c r="D1206" s="35"/>
      <c r="E1206" s="35"/>
      <c r="F1206" s="268"/>
    </row>
    <row r="1207" spans="1:6" x14ac:dyDescent="0.25">
      <c r="A1207" s="35"/>
      <c r="C1207" s="35"/>
      <c r="D1207" s="35"/>
      <c r="E1207" s="35"/>
      <c r="F1207" s="268"/>
    </row>
    <row r="1208" spans="1:6" x14ac:dyDescent="0.25">
      <c r="A1208" s="35"/>
      <c r="C1208" s="35"/>
      <c r="D1208" s="35"/>
      <c r="E1208" s="35"/>
      <c r="F1208" s="268"/>
    </row>
    <row r="1209" spans="1:6" x14ac:dyDescent="0.25">
      <c r="A1209" s="35"/>
      <c r="C1209" s="35"/>
      <c r="D1209" s="35"/>
      <c r="E1209" s="35"/>
      <c r="F1209" s="268"/>
    </row>
    <row r="1210" spans="1:6" x14ac:dyDescent="0.25">
      <c r="A1210" s="35"/>
      <c r="C1210" s="35"/>
      <c r="D1210" s="35"/>
      <c r="E1210" s="35"/>
      <c r="F1210" s="268"/>
    </row>
    <row r="1211" spans="1:6" x14ac:dyDescent="0.25">
      <c r="A1211" s="35"/>
      <c r="C1211" s="35"/>
      <c r="D1211" s="35"/>
      <c r="E1211" s="35"/>
      <c r="F1211" s="268"/>
    </row>
    <row r="1212" spans="1:6" x14ac:dyDescent="0.25">
      <c r="A1212" s="35"/>
      <c r="C1212" s="35"/>
      <c r="D1212" s="35"/>
      <c r="E1212" s="35"/>
      <c r="F1212" s="268"/>
    </row>
    <row r="1213" spans="1:6" x14ac:dyDescent="0.25">
      <c r="A1213" s="35"/>
      <c r="C1213" s="35"/>
      <c r="D1213" s="35"/>
      <c r="E1213" s="35"/>
      <c r="F1213" s="268"/>
    </row>
    <row r="1214" spans="1:6" x14ac:dyDescent="0.25">
      <c r="A1214" s="35"/>
      <c r="C1214" s="35"/>
      <c r="D1214" s="35"/>
      <c r="E1214" s="35"/>
      <c r="F1214" s="268"/>
    </row>
    <row r="1215" spans="1:6" x14ac:dyDescent="0.25">
      <c r="A1215" s="35"/>
      <c r="C1215" s="35"/>
      <c r="D1215" s="35"/>
      <c r="E1215" s="35"/>
      <c r="F1215" s="268"/>
    </row>
    <row r="1216" spans="1:6" x14ac:dyDescent="0.25">
      <c r="A1216" s="35"/>
      <c r="C1216" s="35"/>
      <c r="D1216" s="35"/>
      <c r="E1216" s="35"/>
      <c r="F1216" s="268"/>
    </row>
    <row r="1217" spans="1:6" x14ac:dyDescent="0.25">
      <c r="A1217" s="35"/>
      <c r="C1217" s="35"/>
      <c r="D1217" s="35"/>
      <c r="E1217" s="35"/>
      <c r="F1217" s="268"/>
    </row>
    <row r="1218" spans="1:6" x14ac:dyDescent="0.25">
      <c r="A1218" s="35"/>
      <c r="C1218" s="35"/>
      <c r="D1218" s="35"/>
      <c r="E1218" s="35"/>
      <c r="F1218" s="268"/>
    </row>
    <row r="1219" spans="1:6" x14ac:dyDescent="0.25">
      <c r="A1219" s="35"/>
      <c r="C1219" s="35"/>
      <c r="D1219" s="35"/>
      <c r="E1219" s="35"/>
      <c r="F1219" s="268"/>
    </row>
    <row r="1220" spans="1:6" x14ac:dyDescent="0.25">
      <c r="A1220" s="35"/>
      <c r="C1220" s="35"/>
      <c r="D1220" s="35"/>
      <c r="E1220" s="35"/>
      <c r="F1220" s="268"/>
    </row>
    <row r="1221" spans="1:6" x14ac:dyDescent="0.25">
      <c r="A1221" s="35"/>
      <c r="C1221" s="35"/>
      <c r="D1221" s="35"/>
      <c r="E1221" s="35"/>
      <c r="F1221" s="268"/>
    </row>
    <row r="1222" spans="1:6" x14ac:dyDescent="0.25">
      <c r="A1222" s="35"/>
      <c r="C1222" s="35"/>
      <c r="D1222" s="35"/>
      <c r="E1222" s="35"/>
      <c r="F1222" s="268"/>
    </row>
    <row r="1223" spans="1:6" x14ac:dyDescent="0.25">
      <c r="A1223" s="35"/>
      <c r="C1223" s="35"/>
      <c r="D1223" s="35"/>
      <c r="E1223" s="35"/>
      <c r="F1223" s="268"/>
    </row>
    <row r="1224" spans="1:6" x14ac:dyDescent="0.25">
      <c r="A1224" s="35"/>
      <c r="C1224" s="35"/>
      <c r="D1224" s="35"/>
      <c r="E1224" s="35"/>
      <c r="F1224" s="268"/>
    </row>
    <row r="1225" spans="1:6" x14ac:dyDescent="0.25">
      <c r="A1225" s="35"/>
      <c r="C1225" s="35"/>
      <c r="D1225" s="35"/>
      <c r="E1225" s="35"/>
      <c r="F1225" s="268"/>
    </row>
    <row r="1226" spans="1:6" x14ac:dyDescent="0.25">
      <c r="A1226" s="35"/>
      <c r="C1226" s="35"/>
      <c r="D1226" s="35"/>
      <c r="E1226" s="35"/>
      <c r="F1226" s="268"/>
    </row>
    <row r="1227" spans="1:6" x14ac:dyDescent="0.25">
      <c r="A1227" s="35"/>
      <c r="C1227" s="35"/>
      <c r="D1227" s="35"/>
      <c r="E1227" s="35"/>
      <c r="F1227" s="268"/>
    </row>
    <row r="1228" spans="1:6" x14ac:dyDescent="0.25">
      <c r="A1228" s="35"/>
      <c r="C1228" s="35"/>
      <c r="D1228" s="35"/>
      <c r="E1228" s="35"/>
      <c r="F1228" s="268"/>
    </row>
    <row r="1229" spans="1:6" x14ac:dyDescent="0.25">
      <c r="A1229" s="35"/>
      <c r="C1229" s="35"/>
      <c r="D1229" s="35"/>
      <c r="E1229" s="35"/>
      <c r="F1229" s="268"/>
    </row>
    <row r="1230" spans="1:6" x14ac:dyDescent="0.25">
      <c r="A1230" s="35"/>
      <c r="C1230" s="35"/>
      <c r="D1230" s="35"/>
      <c r="E1230" s="35"/>
      <c r="F1230" s="268"/>
    </row>
    <row r="1231" spans="1:6" x14ac:dyDescent="0.25">
      <c r="A1231" s="35"/>
      <c r="C1231" s="35"/>
      <c r="D1231" s="35"/>
      <c r="E1231" s="35"/>
      <c r="F1231" s="268"/>
    </row>
    <row r="1232" spans="1:6" x14ac:dyDescent="0.25">
      <c r="A1232" s="35"/>
      <c r="C1232" s="35"/>
      <c r="D1232" s="35"/>
      <c r="E1232" s="35"/>
      <c r="F1232" s="268"/>
    </row>
    <row r="1233" spans="1:6" x14ac:dyDescent="0.25">
      <c r="A1233" s="35"/>
      <c r="C1233" s="35"/>
      <c r="D1233" s="35"/>
      <c r="E1233" s="35"/>
      <c r="F1233" s="268"/>
    </row>
    <row r="1234" spans="1:6" x14ac:dyDescent="0.25">
      <c r="A1234" s="35"/>
      <c r="C1234" s="35"/>
      <c r="D1234" s="35"/>
      <c r="E1234" s="35"/>
      <c r="F1234" s="268"/>
    </row>
    <row r="1235" spans="1:6" x14ac:dyDescent="0.25">
      <c r="A1235" s="35"/>
      <c r="C1235" s="35"/>
      <c r="D1235" s="35"/>
      <c r="E1235" s="35"/>
      <c r="F1235" s="268"/>
    </row>
    <row r="1236" spans="1:6" x14ac:dyDescent="0.25">
      <c r="A1236" s="35"/>
      <c r="C1236" s="35"/>
      <c r="D1236" s="35"/>
      <c r="E1236" s="35"/>
      <c r="F1236" s="268"/>
    </row>
    <row r="1237" spans="1:6" x14ac:dyDescent="0.25">
      <c r="A1237" s="35"/>
      <c r="C1237" s="35"/>
      <c r="D1237" s="35"/>
      <c r="E1237" s="35"/>
      <c r="F1237" s="268"/>
    </row>
    <row r="1238" spans="1:6" x14ac:dyDescent="0.25">
      <c r="A1238" s="35"/>
      <c r="C1238" s="35"/>
      <c r="D1238" s="35"/>
      <c r="E1238" s="35"/>
      <c r="F1238" s="268"/>
    </row>
    <row r="1239" spans="1:6" x14ac:dyDescent="0.25">
      <c r="A1239" s="35"/>
      <c r="C1239" s="35"/>
      <c r="D1239" s="35"/>
      <c r="E1239" s="35"/>
      <c r="F1239" s="268"/>
    </row>
    <row r="1240" spans="1:6" x14ac:dyDescent="0.25">
      <c r="A1240" s="35"/>
      <c r="C1240" s="35"/>
      <c r="D1240" s="35"/>
      <c r="E1240" s="35"/>
      <c r="F1240" s="268"/>
    </row>
    <row r="1241" spans="1:6" x14ac:dyDescent="0.25">
      <c r="A1241" s="35"/>
      <c r="C1241" s="35"/>
      <c r="D1241" s="35"/>
      <c r="E1241" s="35"/>
      <c r="F1241" s="268"/>
    </row>
    <row r="1242" spans="1:6" x14ac:dyDescent="0.25">
      <c r="A1242" s="35"/>
      <c r="C1242" s="35"/>
      <c r="D1242" s="35"/>
      <c r="E1242" s="35"/>
      <c r="F1242" s="268"/>
    </row>
    <row r="1243" spans="1:6" x14ac:dyDescent="0.25">
      <c r="A1243" s="35"/>
      <c r="C1243" s="35"/>
      <c r="D1243" s="35"/>
      <c r="E1243" s="35"/>
      <c r="F1243" s="268"/>
    </row>
    <row r="1244" spans="1:6" x14ac:dyDescent="0.25">
      <c r="A1244" s="35"/>
      <c r="C1244" s="35"/>
      <c r="D1244" s="35"/>
      <c r="E1244" s="35"/>
      <c r="F1244" s="268"/>
    </row>
    <row r="1245" spans="1:6" x14ac:dyDescent="0.25">
      <c r="A1245" s="35"/>
      <c r="C1245" s="35"/>
      <c r="D1245" s="35"/>
      <c r="E1245" s="35"/>
      <c r="F1245" s="268"/>
    </row>
    <row r="1246" spans="1:6" x14ac:dyDescent="0.25">
      <c r="A1246" s="35"/>
      <c r="C1246" s="35"/>
      <c r="D1246" s="35"/>
      <c r="E1246" s="35"/>
      <c r="F1246" s="268"/>
    </row>
    <row r="1247" spans="1:6" x14ac:dyDescent="0.25">
      <c r="A1247" s="35"/>
      <c r="C1247" s="35"/>
      <c r="D1247" s="35"/>
      <c r="E1247" s="35"/>
      <c r="F1247" s="268"/>
    </row>
    <row r="1248" spans="1:6" x14ac:dyDescent="0.25">
      <c r="A1248" s="35"/>
      <c r="C1248" s="35"/>
      <c r="D1248" s="35"/>
      <c r="E1248" s="35"/>
      <c r="F1248" s="268"/>
    </row>
    <row r="1249" spans="1:6" x14ac:dyDescent="0.25">
      <c r="A1249" s="35"/>
      <c r="C1249" s="35"/>
      <c r="D1249" s="35"/>
      <c r="E1249" s="35"/>
      <c r="F1249" s="268"/>
    </row>
    <row r="1250" spans="1:6" x14ac:dyDescent="0.25">
      <c r="A1250" s="35"/>
      <c r="C1250" s="35"/>
      <c r="D1250" s="35"/>
      <c r="E1250" s="35"/>
      <c r="F1250" s="268"/>
    </row>
    <row r="1251" spans="1:6" x14ac:dyDescent="0.25">
      <c r="A1251" s="35"/>
      <c r="C1251" s="35"/>
      <c r="D1251" s="35"/>
      <c r="E1251" s="35"/>
      <c r="F1251" s="268"/>
    </row>
    <row r="1252" spans="1:6" x14ac:dyDescent="0.25">
      <c r="A1252" s="35"/>
      <c r="C1252" s="35"/>
      <c r="D1252" s="35"/>
      <c r="E1252" s="35"/>
      <c r="F1252" s="268"/>
    </row>
    <row r="1253" spans="1:6" x14ac:dyDescent="0.25">
      <c r="A1253" s="35"/>
      <c r="C1253" s="35"/>
      <c r="D1253" s="35"/>
      <c r="E1253" s="35"/>
      <c r="F1253" s="268"/>
    </row>
    <row r="1254" spans="1:6" x14ac:dyDescent="0.25">
      <c r="A1254" s="35"/>
      <c r="C1254" s="35"/>
      <c r="D1254" s="35"/>
      <c r="E1254" s="35"/>
      <c r="F1254" s="268"/>
    </row>
    <row r="1255" spans="1:6" x14ac:dyDescent="0.25">
      <c r="A1255" s="35"/>
      <c r="C1255" s="35"/>
      <c r="D1255" s="35"/>
      <c r="E1255" s="35"/>
      <c r="F1255" s="268"/>
    </row>
    <row r="1256" spans="1:6" x14ac:dyDescent="0.25">
      <c r="A1256" s="35"/>
      <c r="C1256" s="35"/>
      <c r="D1256" s="35"/>
      <c r="E1256" s="35"/>
      <c r="F1256" s="268"/>
    </row>
    <row r="1257" spans="1:6" x14ac:dyDescent="0.25">
      <c r="A1257" s="35"/>
      <c r="C1257" s="35"/>
      <c r="D1257" s="35"/>
      <c r="E1257" s="35"/>
      <c r="F1257" s="268"/>
    </row>
    <row r="1258" spans="1:6" x14ac:dyDescent="0.25">
      <c r="A1258" s="35"/>
      <c r="C1258" s="35"/>
      <c r="D1258" s="35"/>
      <c r="E1258" s="35"/>
      <c r="F1258" s="268"/>
    </row>
    <row r="1259" spans="1:6" x14ac:dyDescent="0.25">
      <c r="A1259" s="35"/>
      <c r="C1259" s="35"/>
      <c r="D1259" s="35"/>
      <c r="E1259" s="35"/>
      <c r="F1259" s="268"/>
    </row>
    <row r="1260" spans="1:6" x14ac:dyDescent="0.25">
      <c r="A1260" s="35"/>
      <c r="C1260" s="35"/>
      <c r="D1260" s="35"/>
      <c r="E1260" s="35"/>
      <c r="F1260" s="268"/>
    </row>
    <row r="1261" spans="1:6" x14ac:dyDescent="0.25">
      <c r="A1261" s="35"/>
      <c r="C1261" s="35"/>
      <c r="D1261" s="35"/>
      <c r="E1261" s="35"/>
      <c r="F1261" s="268"/>
    </row>
    <row r="1262" spans="1:6" x14ac:dyDescent="0.25">
      <c r="A1262" s="35"/>
      <c r="C1262" s="35"/>
      <c r="D1262" s="35"/>
      <c r="E1262" s="35"/>
      <c r="F1262" s="268"/>
    </row>
    <row r="1263" spans="1:6" x14ac:dyDescent="0.25">
      <c r="A1263" s="35"/>
      <c r="C1263" s="35"/>
      <c r="D1263" s="35"/>
      <c r="E1263" s="35"/>
      <c r="F1263" s="268"/>
    </row>
    <row r="1264" spans="1:6" x14ac:dyDescent="0.25">
      <c r="A1264" s="35"/>
      <c r="C1264" s="35"/>
      <c r="D1264" s="35"/>
      <c r="E1264" s="35"/>
      <c r="F1264" s="268"/>
    </row>
    <row r="1265" spans="1:6" x14ac:dyDescent="0.25">
      <c r="A1265" s="35"/>
      <c r="C1265" s="35"/>
      <c r="D1265" s="35"/>
      <c r="E1265" s="35"/>
      <c r="F1265" s="268"/>
    </row>
    <row r="1266" spans="1:6" x14ac:dyDescent="0.25">
      <c r="A1266" s="35"/>
      <c r="C1266" s="35"/>
      <c r="D1266" s="35"/>
      <c r="E1266" s="35"/>
      <c r="F1266" s="268"/>
    </row>
    <row r="1267" spans="1:6" x14ac:dyDescent="0.25">
      <c r="A1267" s="35"/>
      <c r="C1267" s="35"/>
      <c r="D1267" s="35"/>
      <c r="E1267" s="35"/>
      <c r="F1267" s="268"/>
    </row>
    <row r="1268" spans="1:6" x14ac:dyDescent="0.25">
      <c r="A1268" s="35"/>
      <c r="C1268" s="35"/>
      <c r="D1268" s="35"/>
      <c r="E1268" s="35"/>
      <c r="F1268" s="268"/>
    </row>
    <row r="1269" spans="1:6" x14ac:dyDescent="0.25">
      <c r="A1269" s="35"/>
      <c r="C1269" s="35"/>
      <c r="D1269" s="35"/>
      <c r="E1269" s="35"/>
      <c r="F1269" s="268"/>
    </row>
    <row r="1270" spans="1:6" x14ac:dyDescent="0.25">
      <c r="A1270" s="35"/>
      <c r="C1270" s="35"/>
      <c r="D1270" s="35"/>
      <c r="E1270" s="35"/>
      <c r="F1270" s="268"/>
    </row>
    <row r="1271" spans="1:6" x14ac:dyDescent="0.25">
      <c r="A1271" s="35"/>
      <c r="C1271" s="35"/>
      <c r="D1271" s="35"/>
      <c r="E1271" s="35"/>
      <c r="F1271" s="268"/>
    </row>
    <row r="1272" spans="1:6" x14ac:dyDescent="0.25">
      <c r="A1272" s="35"/>
      <c r="C1272" s="35"/>
      <c r="D1272" s="35"/>
      <c r="E1272" s="35"/>
      <c r="F1272" s="268"/>
    </row>
    <row r="1273" spans="1:6" x14ac:dyDescent="0.25">
      <c r="A1273" s="35"/>
      <c r="C1273" s="35"/>
      <c r="D1273" s="35"/>
      <c r="E1273" s="35"/>
      <c r="F1273" s="268"/>
    </row>
    <row r="1274" spans="1:6" x14ac:dyDescent="0.25">
      <c r="A1274" s="35"/>
      <c r="C1274" s="35"/>
      <c r="D1274" s="35"/>
      <c r="E1274" s="35"/>
      <c r="F1274" s="268"/>
    </row>
    <row r="1275" spans="1:6" x14ac:dyDescent="0.25">
      <c r="A1275" s="35"/>
      <c r="C1275" s="35"/>
      <c r="D1275" s="35"/>
      <c r="E1275" s="35"/>
      <c r="F1275" s="268"/>
    </row>
    <row r="1276" spans="1:6" x14ac:dyDescent="0.25">
      <c r="A1276" s="35"/>
      <c r="C1276" s="35"/>
      <c r="D1276" s="35"/>
      <c r="E1276" s="35"/>
      <c r="F1276" s="268"/>
    </row>
    <row r="1277" spans="1:6" x14ac:dyDescent="0.25">
      <c r="A1277" s="35"/>
      <c r="C1277" s="35"/>
      <c r="D1277" s="35"/>
      <c r="E1277" s="35"/>
      <c r="F1277" s="268"/>
    </row>
    <row r="1278" spans="1:6" x14ac:dyDescent="0.25">
      <c r="A1278" s="35"/>
      <c r="C1278" s="35"/>
      <c r="D1278" s="35"/>
      <c r="E1278" s="35"/>
      <c r="F1278" s="268"/>
    </row>
    <row r="1279" spans="1:6" x14ac:dyDescent="0.25">
      <c r="A1279" s="35"/>
      <c r="C1279" s="35"/>
      <c r="D1279" s="35"/>
      <c r="E1279" s="35"/>
      <c r="F1279" s="268"/>
    </row>
    <row r="1280" spans="1:6" x14ac:dyDescent="0.25">
      <c r="A1280" s="35"/>
      <c r="C1280" s="35"/>
      <c r="D1280" s="35"/>
      <c r="E1280" s="35"/>
      <c r="F1280" s="268"/>
    </row>
    <row r="1281" spans="1:6" x14ac:dyDescent="0.25">
      <c r="A1281" s="35"/>
      <c r="C1281" s="35"/>
      <c r="D1281" s="35"/>
      <c r="E1281" s="35"/>
      <c r="F1281" s="268"/>
    </row>
    <row r="1282" spans="1:6" x14ac:dyDescent="0.25">
      <c r="A1282" s="35"/>
      <c r="C1282" s="35"/>
      <c r="D1282" s="35"/>
      <c r="E1282" s="35"/>
      <c r="F1282" s="268"/>
    </row>
    <row r="1283" spans="1:6" x14ac:dyDescent="0.25">
      <c r="A1283" s="35"/>
      <c r="C1283" s="35"/>
      <c r="D1283" s="35"/>
      <c r="E1283" s="35"/>
      <c r="F1283" s="268"/>
    </row>
    <row r="1284" spans="1:6" x14ac:dyDescent="0.25">
      <c r="A1284" s="35"/>
      <c r="C1284" s="35"/>
      <c r="D1284" s="35"/>
      <c r="E1284" s="35"/>
      <c r="F1284" s="268"/>
    </row>
    <row r="1285" spans="1:6" x14ac:dyDescent="0.25">
      <c r="A1285" s="35"/>
      <c r="C1285" s="35"/>
      <c r="D1285" s="35"/>
      <c r="E1285" s="35"/>
      <c r="F1285" s="268"/>
    </row>
    <row r="1286" spans="1:6" x14ac:dyDescent="0.25">
      <c r="A1286" s="35"/>
      <c r="C1286" s="35"/>
      <c r="D1286" s="35"/>
      <c r="E1286" s="35"/>
      <c r="F1286" s="268"/>
    </row>
    <row r="1287" spans="1:6" x14ac:dyDescent="0.25">
      <c r="A1287" s="35"/>
      <c r="C1287" s="35"/>
      <c r="D1287" s="35"/>
      <c r="E1287" s="35"/>
      <c r="F1287" s="268"/>
    </row>
    <row r="1288" spans="1:6" x14ac:dyDescent="0.25">
      <c r="A1288" s="35"/>
      <c r="C1288" s="35"/>
      <c r="D1288" s="35"/>
      <c r="E1288" s="35"/>
      <c r="F1288" s="268"/>
    </row>
    <row r="1289" spans="1:6" x14ac:dyDescent="0.25">
      <c r="A1289" s="35"/>
      <c r="C1289" s="35"/>
      <c r="D1289" s="35"/>
      <c r="E1289" s="35"/>
      <c r="F1289" s="268"/>
    </row>
    <row r="1290" spans="1:6" x14ac:dyDescent="0.25">
      <c r="A1290" s="35"/>
      <c r="C1290" s="35"/>
      <c r="D1290" s="35"/>
      <c r="E1290" s="35"/>
      <c r="F1290" s="268"/>
    </row>
    <row r="1291" spans="1:6" x14ac:dyDescent="0.25">
      <c r="A1291" s="35"/>
      <c r="C1291" s="35"/>
      <c r="D1291" s="35"/>
      <c r="E1291" s="35"/>
      <c r="F1291" s="268"/>
    </row>
    <row r="1292" spans="1:6" x14ac:dyDescent="0.25">
      <c r="A1292" s="35"/>
      <c r="C1292" s="35"/>
      <c r="D1292" s="35"/>
      <c r="E1292" s="35"/>
      <c r="F1292" s="268"/>
    </row>
    <row r="1293" spans="1:6" x14ac:dyDescent="0.25">
      <c r="A1293" s="35"/>
      <c r="C1293" s="35"/>
      <c r="D1293" s="35"/>
      <c r="E1293" s="35"/>
      <c r="F1293" s="268"/>
    </row>
    <row r="1294" spans="1:6" x14ac:dyDescent="0.25">
      <c r="A1294" s="35"/>
      <c r="C1294" s="35"/>
      <c r="D1294" s="35"/>
      <c r="E1294" s="35"/>
      <c r="F1294" s="268"/>
    </row>
    <row r="1295" spans="1:6" x14ac:dyDescent="0.25">
      <c r="A1295" s="35"/>
      <c r="C1295" s="35"/>
      <c r="D1295" s="35"/>
      <c r="E1295" s="35"/>
      <c r="F1295" s="268"/>
    </row>
    <row r="1296" spans="1:6" x14ac:dyDescent="0.25">
      <c r="A1296" s="35"/>
      <c r="C1296" s="35"/>
      <c r="D1296" s="35"/>
      <c r="E1296" s="35"/>
      <c r="F1296" s="268"/>
    </row>
    <row r="1297" spans="1:6" x14ac:dyDescent="0.25">
      <c r="A1297" s="35"/>
      <c r="C1297" s="35"/>
      <c r="D1297" s="35"/>
      <c r="E1297" s="35"/>
      <c r="F1297" s="268"/>
    </row>
    <row r="1298" spans="1:6" x14ac:dyDescent="0.25">
      <c r="A1298" s="35"/>
      <c r="C1298" s="35"/>
      <c r="D1298" s="35"/>
      <c r="E1298" s="35"/>
      <c r="F1298" s="268"/>
    </row>
    <row r="1299" spans="1:6" x14ac:dyDescent="0.25">
      <c r="A1299" s="35"/>
      <c r="C1299" s="35"/>
      <c r="D1299" s="35"/>
      <c r="E1299" s="35"/>
      <c r="F1299" s="268"/>
    </row>
    <row r="1300" spans="1:6" x14ac:dyDescent="0.25">
      <c r="A1300" s="35"/>
      <c r="C1300" s="35"/>
      <c r="D1300" s="35"/>
      <c r="E1300" s="35"/>
      <c r="F1300" s="268"/>
    </row>
    <row r="1301" spans="1:6" x14ac:dyDescent="0.25">
      <c r="A1301" s="35"/>
      <c r="C1301" s="35"/>
      <c r="D1301" s="35"/>
      <c r="E1301" s="35"/>
      <c r="F1301" s="268"/>
    </row>
    <row r="1302" spans="1:6" x14ac:dyDescent="0.25">
      <c r="A1302" s="35"/>
      <c r="C1302" s="35"/>
      <c r="D1302" s="35"/>
      <c r="E1302" s="35"/>
      <c r="F1302" s="268"/>
    </row>
    <row r="1303" spans="1:6" x14ac:dyDescent="0.25">
      <c r="A1303" s="35"/>
      <c r="C1303" s="35"/>
      <c r="D1303" s="35"/>
      <c r="E1303" s="35"/>
      <c r="F1303" s="268"/>
    </row>
    <row r="1304" spans="1:6" x14ac:dyDescent="0.25">
      <c r="A1304" s="35"/>
      <c r="C1304" s="35"/>
      <c r="D1304" s="35"/>
      <c r="E1304" s="35"/>
      <c r="F1304" s="268"/>
    </row>
    <row r="1305" spans="1:6" x14ac:dyDescent="0.25">
      <c r="A1305" s="35"/>
      <c r="C1305" s="35"/>
      <c r="D1305" s="35"/>
      <c r="E1305" s="35"/>
      <c r="F1305" s="268"/>
    </row>
    <row r="1306" spans="1:6" x14ac:dyDescent="0.25">
      <c r="A1306" s="35"/>
      <c r="C1306" s="35"/>
      <c r="D1306" s="35"/>
      <c r="E1306" s="35"/>
      <c r="F1306" s="268"/>
    </row>
    <row r="1307" spans="1:6" x14ac:dyDescent="0.25">
      <c r="A1307" s="35"/>
      <c r="C1307" s="35"/>
      <c r="D1307" s="35"/>
      <c r="E1307" s="35"/>
      <c r="F1307" s="268"/>
    </row>
    <row r="1308" spans="1:6" x14ac:dyDescent="0.25">
      <c r="A1308" s="35"/>
      <c r="C1308" s="35"/>
      <c r="D1308" s="35"/>
      <c r="E1308" s="35"/>
      <c r="F1308" s="268"/>
    </row>
    <row r="1309" spans="1:6" x14ac:dyDescent="0.25">
      <c r="A1309" s="35"/>
      <c r="C1309" s="35"/>
      <c r="D1309" s="35"/>
      <c r="E1309" s="35"/>
      <c r="F1309" s="268"/>
    </row>
    <row r="1310" spans="1:6" x14ac:dyDescent="0.25">
      <c r="A1310" s="35"/>
      <c r="C1310" s="35"/>
      <c r="D1310" s="35"/>
      <c r="E1310" s="35"/>
      <c r="F1310" s="268"/>
    </row>
    <row r="1311" spans="1:6" x14ac:dyDescent="0.25">
      <c r="A1311" s="35"/>
      <c r="C1311" s="35"/>
      <c r="D1311" s="35"/>
      <c r="E1311" s="35"/>
      <c r="F1311" s="268"/>
    </row>
    <row r="1312" spans="1:6" x14ac:dyDescent="0.25">
      <c r="A1312" s="35"/>
      <c r="C1312" s="35"/>
      <c r="D1312" s="35"/>
      <c r="E1312" s="35"/>
      <c r="F1312" s="268"/>
    </row>
    <row r="1313" spans="1:6" x14ac:dyDescent="0.25">
      <c r="A1313" s="35"/>
      <c r="C1313" s="35"/>
      <c r="D1313" s="35"/>
      <c r="E1313" s="35"/>
      <c r="F1313" s="268"/>
    </row>
    <row r="1314" spans="1:6" x14ac:dyDescent="0.25">
      <c r="A1314" s="35"/>
      <c r="C1314" s="35"/>
      <c r="D1314" s="35"/>
      <c r="E1314" s="35"/>
      <c r="F1314" s="268"/>
    </row>
    <row r="1315" spans="1:6" x14ac:dyDescent="0.25">
      <c r="A1315" s="35"/>
      <c r="C1315" s="35"/>
      <c r="D1315" s="35"/>
      <c r="E1315" s="35"/>
      <c r="F1315" s="268"/>
    </row>
    <row r="1316" spans="1:6" x14ac:dyDescent="0.25">
      <c r="A1316" s="35"/>
      <c r="C1316" s="35"/>
      <c r="D1316" s="35"/>
      <c r="E1316" s="35"/>
      <c r="F1316" s="268"/>
    </row>
    <row r="1317" spans="1:6" x14ac:dyDescent="0.25">
      <c r="A1317" s="35"/>
      <c r="C1317" s="35"/>
      <c r="D1317" s="35"/>
      <c r="E1317" s="35"/>
      <c r="F1317" s="268"/>
    </row>
    <row r="1318" spans="1:6" x14ac:dyDescent="0.25">
      <c r="A1318" s="35"/>
      <c r="C1318" s="35"/>
      <c r="D1318" s="35"/>
      <c r="E1318" s="35"/>
      <c r="F1318" s="268"/>
    </row>
    <row r="1319" spans="1:6" x14ac:dyDescent="0.25">
      <c r="A1319" s="35"/>
      <c r="C1319" s="35"/>
      <c r="D1319" s="35"/>
      <c r="E1319" s="35"/>
      <c r="F1319" s="268"/>
    </row>
    <row r="1320" spans="1:6" x14ac:dyDescent="0.25">
      <c r="A1320" s="35"/>
      <c r="C1320" s="35"/>
      <c r="D1320" s="35"/>
      <c r="E1320" s="35"/>
      <c r="F1320" s="268"/>
    </row>
    <row r="1321" spans="1:6" x14ac:dyDescent="0.25">
      <c r="A1321" s="35"/>
      <c r="C1321" s="35"/>
      <c r="D1321" s="35"/>
      <c r="E1321" s="35"/>
      <c r="F1321" s="268"/>
    </row>
    <row r="1322" spans="1:6" x14ac:dyDescent="0.25">
      <c r="A1322" s="35"/>
      <c r="C1322" s="35"/>
      <c r="D1322" s="35"/>
      <c r="E1322" s="35"/>
      <c r="F1322" s="268"/>
    </row>
    <row r="1323" spans="1:6" x14ac:dyDescent="0.25">
      <c r="A1323" s="35"/>
      <c r="C1323" s="35"/>
      <c r="D1323" s="35"/>
      <c r="E1323" s="35"/>
      <c r="F1323" s="268"/>
    </row>
    <row r="1324" spans="1:6" x14ac:dyDescent="0.25">
      <c r="A1324" s="35"/>
      <c r="C1324" s="35"/>
      <c r="D1324" s="35"/>
      <c r="E1324" s="35"/>
      <c r="F1324" s="268"/>
    </row>
    <row r="1325" spans="1:6" x14ac:dyDescent="0.25">
      <c r="A1325" s="35"/>
      <c r="C1325" s="35"/>
      <c r="D1325" s="35"/>
      <c r="E1325" s="35"/>
      <c r="F1325" s="268"/>
    </row>
    <row r="1326" spans="1:6" x14ac:dyDescent="0.25">
      <c r="A1326" s="35"/>
      <c r="C1326" s="35"/>
      <c r="D1326" s="35"/>
      <c r="E1326" s="35"/>
      <c r="F1326" s="268"/>
    </row>
    <row r="1327" spans="1:6" x14ac:dyDescent="0.25">
      <c r="A1327" s="35"/>
      <c r="C1327" s="35"/>
      <c r="D1327" s="35"/>
      <c r="E1327" s="35"/>
      <c r="F1327" s="268"/>
    </row>
    <row r="1328" spans="1:6" x14ac:dyDescent="0.25">
      <c r="A1328" s="35"/>
      <c r="C1328" s="35"/>
      <c r="D1328" s="35"/>
      <c r="E1328" s="35"/>
      <c r="F1328" s="268"/>
    </row>
    <row r="1329" spans="1:6" x14ac:dyDescent="0.25">
      <c r="A1329" s="35"/>
      <c r="C1329" s="35"/>
      <c r="D1329" s="35"/>
      <c r="E1329" s="35"/>
      <c r="F1329" s="268"/>
    </row>
    <row r="1330" spans="1:6" x14ac:dyDescent="0.25">
      <c r="A1330" s="35"/>
      <c r="C1330" s="35"/>
      <c r="D1330" s="35"/>
      <c r="E1330" s="35"/>
      <c r="F1330" s="268"/>
    </row>
    <row r="1331" spans="1:6" x14ac:dyDescent="0.25">
      <c r="A1331" s="35"/>
      <c r="C1331" s="35"/>
      <c r="D1331" s="35"/>
      <c r="E1331" s="35"/>
      <c r="F1331" s="268"/>
    </row>
    <row r="1332" spans="1:6" x14ac:dyDescent="0.25">
      <c r="A1332" s="35"/>
      <c r="C1332" s="35"/>
      <c r="D1332" s="35"/>
      <c r="E1332" s="35"/>
      <c r="F1332" s="268"/>
    </row>
    <row r="1333" spans="1:6" x14ac:dyDescent="0.25">
      <c r="A1333" s="35"/>
      <c r="C1333" s="35"/>
      <c r="D1333" s="35"/>
      <c r="E1333" s="35"/>
      <c r="F1333" s="268"/>
    </row>
    <row r="1334" spans="1:6" x14ac:dyDescent="0.25">
      <c r="A1334" s="35"/>
      <c r="C1334" s="35"/>
      <c r="D1334" s="35"/>
      <c r="E1334" s="35"/>
      <c r="F1334" s="268"/>
    </row>
    <row r="1335" spans="1:6" x14ac:dyDescent="0.25">
      <c r="A1335" s="35"/>
      <c r="C1335" s="35"/>
      <c r="D1335" s="35"/>
      <c r="E1335" s="35"/>
      <c r="F1335" s="268"/>
    </row>
    <row r="1336" spans="1:6" x14ac:dyDescent="0.25">
      <c r="A1336" s="35"/>
      <c r="C1336" s="35"/>
      <c r="D1336" s="35"/>
      <c r="E1336" s="35"/>
      <c r="F1336" s="268"/>
    </row>
    <row r="1337" spans="1:6" x14ac:dyDescent="0.25">
      <c r="A1337" s="35"/>
      <c r="C1337" s="35"/>
      <c r="D1337" s="35"/>
      <c r="E1337" s="35"/>
      <c r="F1337" s="268"/>
    </row>
    <row r="1338" spans="1:6" x14ac:dyDescent="0.25">
      <c r="A1338" s="35"/>
      <c r="C1338" s="35"/>
      <c r="D1338" s="35"/>
      <c r="E1338" s="35"/>
      <c r="F1338" s="268"/>
    </row>
    <row r="1339" spans="1:6" x14ac:dyDescent="0.25">
      <c r="A1339" s="35"/>
      <c r="C1339" s="35"/>
      <c r="D1339" s="35"/>
      <c r="E1339" s="35"/>
      <c r="F1339" s="268"/>
    </row>
    <row r="1340" spans="1:6" x14ac:dyDescent="0.25">
      <c r="A1340" s="35"/>
      <c r="C1340" s="35"/>
      <c r="D1340" s="35"/>
      <c r="E1340" s="35"/>
      <c r="F1340" s="268"/>
    </row>
    <row r="1341" spans="1:6" x14ac:dyDescent="0.25">
      <c r="A1341" s="35"/>
      <c r="C1341" s="35"/>
      <c r="D1341" s="35"/>
      <c r="E1341" s="35"/>
      <c r="F1341" s="268"/>
    </row>
    <row r="1342" spans="1:6" x14ac:dyDescent="0.25">
      <c r="A1342" s="35"/>
      <c r="C1342" s="35"/>
      <c r="D1342" s="35"/>
      <c r="E1342" s="35"/>
      <c r="F1342" s="268"/>
    </row>
    <row r="1343" spans="1:6" x14ac:dyDescent="0.25">
      <c r="A1343" s="35"/>
      <c r="C1343" s="35"/>
      <c r="D1343" s="35"/>
      <c r="E1343" s="35"/>
      <c r="F1343" s="268"/>
    </row>
    <row r="1344" spans="1:6" x14ac:dyDescent="0.25">
      <c r="A1344" s="35"/>
      <c r="C1344" s="35"/>
      <c r="D1344" s="35"/>
      <c r="E1344" s="35"/>
      <c r="F1344" s="268"/>
    </row>
    <row r="1345" spans="1:6" x14ac:dyDescent="0.25">
      <c r="A1345" s="35"/>
      <c r="C1345" s="35"/>
      <c r="D1345" s="35"/>
      <c r="E1345" s="35"/>
      <c r="F1345" s="268"/>
    </row>
    <row r="1346" spans="1:6" x14ac:dyDescent="0.25">
      <c r="A1346" s="35"/>
      <c r="C1346" s="35"/>
      <c r="D1346" s="35"/>
      <c r="E1346" s="35"/>
      <c r="F1346" s="268"/>
    </row>
    <row r="1347" spans="1:6" x14ac:dyDescent="0.25">
      <c r="A1347" s="35"/>
      <c r="C1347" s="35"/>
      <c r="D1347" s="35"/>
      <c r="E1347" s="35"/>
      <c r="F1347" s="268"/>
    </row>
    <row r="1348" spans="1:6" x14ac:dyDescent="0.25">
      <c r="A1348" s="35"/>
      <c r="C1348" s="35"/>
      <c r="D1348" s="35"/>
      <c r="E1348" s="35"/>
      <c r="F1348" s="268"/>
    </row>
    <row r="1349" spans="1:6" x14ac:dyDescent="0.25">
      <c r="A1349" s="35"/>
      <c r="C1349" s="35"/>
      <c r="D1349" s="35"/>
      <c r="E1349" s="35"/>
      <c r="F1349" s="268"/>
    </row>
    <row r="1350" spans="1:6" x14ac:dyDescent="0.25">
      <c r="A1350" s="35"/>
      <c r="C1350" s="35"/>
      <c r="D1350" s="35"/>
      <c r="E1350" s="35"/>
      <c r="F1350" s="268"/>
    </row>
    <row r="1351" spans="1:6" x14ac:dyDescent="0.25">
      <c r="A1351" s="35"/>
      <c r="C1351" s="35"/>
      <c r="D1351" s="35"/>
      <c r="E1351" s="35"/>
      <c r="F1351" s="268"/>
    </row>
    <row r="1352" spans="1:6" x14ac:dyDescent="0.25">
      <c r="A1352" s="35"/>
      <c r="C1352" s="35"/>
      <c r="D1352" s="35"/>
      <c r="E1352" s="35"/>
      <c r="F1352" s="268"/>
    </row>
    <row r="1353" spans="1:6" x14ac:dyDescent="0.25">
      <c r="A1353" s="35"/>
      <c r="C1353" s="35"/>
      <c r="D1353" s="35"/>
      <c r="E1353" s="35"/>
      <c r="F1353" s="268"/>
    </row>
    <row r="1354" spans="1:6" x14ac:dyDescent="0.25">
      <c r="A1354" s="35"/>
      <c r="C1354" s="35"/>
      <c r="D1354" s="35"/>
      <c r="E1354" s="35"/>
      <c r="F1354" s="268"/>
    </row>
    <row r="1355" spans="1:6" x14ac:dyDescent="0.25">
      <c r="A1355" s="35"/>
      <c r="C1355" s="35"/>
      <c r="D1355" s="35"/>
      <c r="E1355" s="35"/>
      <c r="F1355" s="268"/>
    </row>
    <row r="1356" spans="1:6" x14ac:dyDescent="0.25">
      <c r="A1356" s="35"/>
      <c r="C1356" s="35"/>
      <c r="D1356" s="35"/>
      <c r="E1356" s="35"/>
      <c r="F1356" s="268"/>
    </row>
    <row r="1357" spans="1:6" x14ac:dyDescent="0.25">
      <c r="A1357" s="35"/>
      <c r="C1357" s="35"/>
      <c r="D1357" s="35"/>
      <c r="E1357" s="35"/>
      <c r="F1357" s="268"/>
    </row>
    <row r="1358" spans="1:6" x14ac:dyDescent="0.25">
      <c r="A1358" s="35"/>
      <c r="C1358" s="35"/>
      <c r="D1358" s="35"/>
      <c r="E1358" s="35"/>
      <c r="F1358" s="268"/>
    </row>
    <row r="1359" spans="1:6" x14ac:dyDescent="0.25">
      <c r="A1359" s="35"/>
      <c r="C1359" s="35"/>
      <c r="D1359" s="35"/>
      <c r="E1359" s="35"/>
      <c r="F1359" s="268"/>
    </row>
    <row r="1360" spans="1:6" x14ac:dyDescent="0.25">
      <c r="A1360" s="35"/>
      <c r="C1360" s="35"/>
      <c r="D1360" s="35"/>
      <c r="E1360" s="35"/>
      <c r="F1360" s="268"/>
    </row>
    <row r="1361" spans="1:6" x14ac:dyDescent="0.25">
      <c r="A1361" s="35"/>
      <c r="C1361" s="35"/>
      <c r="D1361" s="35"/>
      <c r="E1361" s="35"/>
      <c r="F1361" s="268"/>
    </row>
    <row r="1362" spans="1:6" x14ac:dyDescent="0.25">
      <c r="A1362" s="35"/>
      <c r="C1362" s="35"/>
      <c r="D1362" s="35"/>
      <c r="E1362" s="35"/>
      <c r="F1362" s="268"/>
    </row>
    <row r="1363" spans="1:6" x14ac:dyDescent="0.25">
      <c r="A1363" s="35"/>
      <c r="C1363" s="35"/>
      <c r="D1363" s="35"/>
      <c r="E1363" s="35"/>
      <c r="F1363" s="268"/>
    </row>
    <row r="1364" spans="1:6" x14ac:dyDescent="0.25">
      <c r="A1364" s="35"/>
      <c r="C1364" s="35"/>
      <c r="D1364" s="35"/>
      <c r="E1364" s="35"/>
      <c r="F1364" s="268"/>
    </row>
    <row r="1365" spans="1:6" x14ac:dyDescent="0.25">
      <c r="A1365" s="35"/>
      <c r="C1365" s="35"/>
      <c r="D1365" s="35"/>
      <c r="E1365" s="35"/>
      <c r="F1365" s="268"/>
    </row>
    <row r="1366" spans="1:6" x14ac:dyDescent="0.25">
      <c r="A1366" s="35"/>
      <c r="C1366" s="35"/>
      <c r="D1366" s="35"/>
      <c r="E1366" s="35"/>
      <c r="F1366" s="268"/>
    </row>
    <row r="1367" spans="1:6" x14ac:dyDescent="0.25">
      <c r="A1367" s="35"/>
      <c r="C1367" s="35"/>
      <c r="D1367" s="35"/>
      <c r="E1367" s="35"/>
      <c r="F1367" s="268"/>
    </row>
    <row r="1368" spans="1:6" x14ac:dyDescent="0.25">
      <c r="A1368" s="35"/>
      <c r="C1368" s="35"/>
      <c r="D1368" s="35"/>
      <c r="E1368" s="35"/>
      <c r="F1368" s="268"/>
    </row>
    <row r="1369" spans="1:6" x14ac:dyDescent="0.25">
      <c r="A1369" s="35"/>
      <c r="C1369" s="35"/>
      <c r="D1369" s="35"/>
      <c r="E1369" s="35"/>
      <c r="F1369" s="268"/>
    </row>
    <row r="1370" spans="1:6" x14ac:dyDescent="0.25">
      <c r="A1370" s="35"/>
      <c r="C1370" s="35"/>
      <c r="D1370" s="35"/>
      <c r="E1370" s="35"/>
      <c r="F1370" s="268"/>
    </row>
    <row r="1371" spans="1:6" x14ac:dyDescent="0.25">
      <c r="A1371" s="35"/>
      <c r="C1371" s="35"/>
      <c r="D1371" s="35"/>
      <c r="E1371" s="35"/>
      <c r="F1371" s="268"/>
    </row>
    <row r="1372" spans="1:6" x14ac:dyDescent="0.25">
      <c r="A1372" s="35"/>
      <c r="C1372" s="35"/>
      <c r="D1372" s="35"/>
      <c r="E1372" s="35"/>
      <c r="F1372" s="268"/>
    </row>
    <row r="1373" spans="1:6" x14ac:dyDescent="0.25">
      <c r="A1373" s="35"/>
      <c r="C1373" s="35"/>
      <c r="D1373" s="35"/>
      <c r="E1373" s="35"/>
      <c r="F1373" s="268"/>
    </row>
    <row r="1374" spans="1:6" x14ac:dyDescent="0.25">
      <c r="A1374" s="35"/>
      <c r="C1374" s="35"/>
      <c r="D1374" s="35"/>
      <c r="E1374" s="35"/>
      <c r="F1374" s="268"/>
    </row>
    <row r="1375" spans="1:6" x14ac:dyDescent="0.25">
      <c r="A1375" s="35"/>
      <c r="C1375" s="35"/>
      <c r="D1375" s="35"/>
      <c r="E1375" s="35"/>
      <c r="F1375" s="268"/>
    </row>
    <row r="1376" spans="1:6" x14ac:dyDescent="0.25">
      <c r="A1376" s="35"/>
      <c r="C1376" s="35"/>
      <c r="D1376" s="35"/>
      <c r="E1376" s="35"/>
      <c r="F1376" s="268"/>
    </row>
    <row r="1377" spans="1:6" x14ac:dyDescent="0.25">
      <c r="A1377" s="35"/>
      <c r="C1377" s="35"/>
      <c r="D1377" s="35"/>
      <c r="E1377" s="35"/>
      <c r="F1377" s="268"/>
    </row>
    <row r="1378" spans="1:6" x14ac:dyDescent="0.25">
      <c r="A1378" s="35"/>
      <c r="C1378" s="35"/>
      <c r="D1378" s="35"/>
      <c r="E1378" s="35"/>
      <c r="F1378" s="268"/>
    </row>
    <row r="1379" spans="1:6" x14ac:dyDescent="0.25">
      <c r="A1379" s="35"/>
      <c r="C1379" s="35"/>
      <c r="D1379" s="35"/>
      <c r="E1379" s="35"/>
      <c r="F1379" s="268"/>
    </row>
    <row r="1380" spans="1:6" x14ac:dyDescent="0.25">
      <c r="A1380" s="35"/>
      <c r="C1380" s="35"/>
      <c r="D1380" s="35"/>
      <c r="E1380" s="35"/>
      <c r="F1380" s="268"/>
    </row>
    <row r="1381" spans="1:6" x14ac:dyDescent="0.25">
      <c r="A1381" s="35"/>
      <c r="C1381" s="35"/>
      <c r="D1381" s="35"/>
      <c r="E1381" s="35"/>
      <c r="F1381" s="268"/>
    </row>
    <row r="1382" spans="1:6" x14ac:dyDescent="0.25">
      <c r="A1382" s="35"/>
      <c r="C1382" s="35"/>
      <c r="D1382" s="35"/>
      <c r="E1382" s="35"/>
      <c r="F1382" s="268"/>
    </row>
    <row r="1383" spans="1:6" x14ac:dyDescent="0.25">
      <c r="A1383" s="35"/>
      <c r="C1383" s="35"/>
      <c r="D1383" s="35"/>
      <c r="E1383" s="35"/>
      <c r="F1383" s="268"/>
    </row>
    <row r="1384" spans="1:6" x14ac:dyDescent="0.25">
      <c r="A1384" s="35"/>
      <c r="C1384" s="35"/>
      <c r="D1384" s="35"/>
      <c r="E1384" s="35"/>
      <c r="F1384" s="268"/>
    </row>
    <row r="1385" spans="1:6" x14ac:dyDescent="0.25">
      <c r="A1385" s="35"/>
      <c r="C1385" s="35"/>
      <c r="D1385" s="35"/>
      <c r="E1385" s="35"/>
      <c r="F1385" s="268"/>
    </row>
    <row r="1386" spans="1:6" x14ac:dyDescent="0.25">
      <c r="A1386" s="35"/>
      <c r="C1386" s="35"/>
      <c r="D1386" s="35"/>
      <c r="E1386" s="35"/>
      <c r="F1386" s="268"/>
    </row>
    <row r="1387" spans="1:6" x14ac:dyDescent="0.25">
      <c r="A1387" s="35"/>
      <c r="C1387" s="35"/>
      <c r="D1387" s="35"/>
      <c r="E1387" s="35"/>
      <c r="F1387" s="268"/>
    </row>
    <row r="1388" spans="1:6" x14ac:dyDescent="0.25">
      <c r="A1388" s="35"/>
      <c r="C1388" s="35"/>
      <c r="D1388" s="35"/>
      <c r="E1388" s="35"/>
      <c r="F1388" s="268"/>
    </row>
    <row r="1389" spans="1:6" x14ac:dyDescent="0.25">
      <c r="A1389" s="35"/>
      <c r="C1389" s="35"/>
      <c r="D1389" s="35"/>
      <c r="E1389" s="35"/>
      <c r="F1389" s="268"/>
    </row>
    <row r="1390" spans="1:6" x14ac:dyDescent="0.25">
      <c r="A1390" s="35"/>
      <c r="C1390" s="35"/>
      <c r="D1390" s="35"/>
      <c r="E1390" s="35"/>
      <c r="F1390" s="268"/>
    </row>
    <row r="1391" spans="1:6" x14ac:dyDescent="0.25">
      <c r="A1391" s="35"/>
      <c r="C1391" s="35"/>
      <c r="D1391" s="35"/>
      <c r="E1391" s="35"/>
      <c r="F1391" s="268"/>
    </row>
    <row r="1392" spans="1:6" x14ac:dyDescent="0.25">
      <c r="A1392" s="35"/>
      <c r="C1392" s="35"/>
      <c r="D1392" s="35"/>
      <c r="E1392" s="35"/>
      <c r="F1392" s="268"/>
    </row>
    <row r="1393" spans="1:6" x14ac:dyDescent="0.25">
      <c r="A1393" s="35"/>
      <c r="C1393" s="35"/>
      <c r="D1393" s="35"/>
      <c r="E1393" s="35"/>
      <c r="F1393" s="268"/>
    </row>
    <row r="1394" spans="1:6" x14ac:dyDescent="0.25">
      <c r="A1394" s="35"/>
      <c r="C1394" s="35"/>
      <c r="D1394" s="35"/>
      <c r="E1394" s="35"/>
      <c r="F1394" s="268"/>
    </row>
    <row r="1395" spans="1:6" x14ac:dyDescent="0.25">
      <c r="A1395" s="35"/>
      <c r="C1395" s="35"/>
      <c r="D1395" s="35"/>
      <c r="E1395" s="35"/>
      <c r="F1395" s="268"/>
    </row>
    <row r="1396" spans="1:6" x14ac:dyDescent="0.25">
      <c r="A1396" s="35"/>
      <c r="C1396" s="35"/>
      <c r="D1396" s="35"/>
      <c r="E1396" s="35"/>
      <c r="F1396" s="268"/>
    </row>
    <row r="1397" spans="1:6" x14ac:dyDescent="0.25">
      <c r="A1397" s="35"/>
      <c r="C1397" s="35"/>
      <c r="D1397" s="35"/>
      <c r="E1397" s="35"/>
      <c r="F1397" s="268"/>
    </row>
    <row r="1398" spans="1:6" x14ac:dyDescent="0.25">
      <c r="A1398" s="35"/>
      <c r="C1398" s="35"/>
      <c r="D1398" s="35"/>
      <c r="E1398" s="35"/>
      <c r="F1398" s="268"/>
    </row>
    <row r="1399" spans="1:6" x14ac:dyDescent="0.25">
      <c r="A1399" s="35"/>
      <c r="C1399" s="35"/>
      <c r="D1399" s="35"/>
      <c r="E1399" s="35"/>
      <c r="F1399" s="268"/>
    </row>
    <row r="1400" spans="1:6" x14ac:dyDescent="0.25">
      <c r="A1400" s="35"/>
      <c r="C1400" s="35"/>
      <c r="D1400" s="35"/>
      <c r="E1400" s="35"/>
      <c r="F1400" s="268"/>
    </row>
    <row r="1401" spans="1:6" x14ac:dyDescent="0.25">
      <c r="A1401" s="35"/>
      <c r="C1401" s="35"/>
      <c r="D1401" s="35"/>
      <c r="E1401" s="35"/>
      <c r="F1401" s="268"/>
    </row>
    <row r="1402" spans="1:6" x14ac:dyDescent="0.25">
      <c r="A1402" s="35"/>
      <c r="C1402" s="35"/>
      <c r="D1402" s="35"/>
      <c r="E1402" s="35"/>
      <c r="F1402" s="268"/>
    </row>
    <row r="1403" spans="1:6" x14ac:dyDescent="0.25">
      <c r="A1403" s="35"/>
      <c r="C1403" s="35"/>
      <c r="D1403" s="35"/>
      <c r="E1403" s="35"/>
      <c r="F1403" s="268"/>
    </row>
    <row r="1404" spans="1:6" x14ac:dyDescent="0.25">
      <c r="A1404" s="35"/>
      <c r="C1404" s="35"/>
      <c r="D1404" s="35"/>
      <c r="E1404" s="35"/>
      <c r="F1404" s="268"/>
    </row>
    <row r="1405" spans="1:6" x14ac:dyDescent="0.25">
      <c r="A1405" s="35"/>
      <c r="C1405" s="35"/>
      <c r="D1405" s="35"/>
      <c r="E1405" s="35"/>
      <c r="F1405" s="268"/>
    </row>
    <row r="1406" spans="1:6" x14ac:dyDescent="0.25">
      <c r="A1406" s="35"/>
      <c r="C1406" s="35"/>
      <c r="D1406" s="35"/>
      <c r="E1406" s="35"/>
      <c r="F1406" s="268"/>
    </row>
    <row r="1407" spans="1:6" x14ac:dyDescent="0.25">
      <c r="A1407" s="35"/>
      <c r="C1407" s="35"/>
      <c r="D1407" s="35"/>
      <c r="E1407" s="35"/>
      <c r="F1407" s="268"/>
    </row>
    <row r="1408" spans="1:6" x14ac:dyDescent="0.25">
      <c r="A1408" s="35"/>
      <c r="C1408" s="35"/>
      <c r="D1408" s="35"/>
      <c r="E1408" s="35"/>
      <c r="F1408" s="268"/>
    </row>
    <row r="1409" spans="1:6" x14ac:dyDescent="0.25">
      <c r="A1409" s="35"/>
      <c r="C1409" s="35"/>
      <c r="D1409" s="35"/>
      <c r="E1409" s="35"/>
      <c r="F1409" s="268"/>
    </row>
    <row r="1410" spans="1:6" x14ac:dyDescent="0.25">
      <c r="A1410" s="35"/>
      <c r="C1410" s="35"/>
      <c r="D1410" s="35"/>
      <c r="E1410" s="35"/>
      <c r="F1410" s="268"/>
    </row>
    <row r="1411" spans="1:6" x14ac:dyDescent="0.25">
      <c r="A1411" s="35"/>
      <c r="C1411" s="35"/>
      <c r="D1411" s="35"/>
      <c r="E1411" s="35"/>
      <c r="F1411" s="268"/>
    </row>
    <row r="1412" spans="1:6" x14ac:dyDescent="0.25">
      <c r="A1412" s="35"/>
      <c r="C1412" s="35"/>
      <c r="D1412" s="35"/>
      <c r="E1412" s="35"/>
      <c r="F1412" s="268"/>
    </row>
    <row r="1413" spans="1:6" x14ac:dyDescent="0.25">
      <c r="A1413" s="35"/>
      <c r="C1413" s="35"/>
      <c r="D1413" s="35"/>
      <c r="E1413" s="35"/>
      <c r="F1413" s="268"/>
    </row>
    <row r="1414" spans="1:6" x14ac:dyDescent="0.25">
      <c r="A1414" s="35"/>
      <c r="C1414" s="35"/>
      <c r="D1414" s="35"/>
      <c r="E1414" s="35"/>
      <c r="F1414" s="268"/>
    </row>
    <row r="1415" spans="1:6" x14ac:dyDescent="0.25">
      <c r="A1415" s="35"/>
      <c r="C1415" s="35"/>
      <c r="D1415" s="35"/>
      <c r="E1415" s="35"/>
      <c r="F1415" s="268"/>
    </row>
    <row r="1416" spans="1:6" x14ac:dyDescent="0.25">
      <c r="A1416" s="35"/>
      <c r="C1416" s="35"/>
      <c r="D1416" s="35"/>
      <c r="E1416" s="35"/>
      <c r="F1416" s="268"/>
    </row>
    <row r="1417" spans="1:6" x14ac:dyDescent="0.25">
      <c r="A1417" s="35"/>
      <c r="C1417" s="35"/>
      <c r="D1417" s="35"/>
      <c r="E1417" s="35"/>
      <c r="F1417" s="268"/>
    </row>
    <row r="1418" spans="1:6" x14ac:dyDescent="0.25">
      <c r="A1418" s="35"/>
      <c r="C1418" s="35"/>
      <c r="D1418" s="35"/>
      <c r="E1418" s="35"/>
      <c r="F1418" s="268"/>
    </row>
    <row r="1419" spans="1:6" x14ac:dyDescent="0.25">
      <c r="A1419" s="35"/>
      <c r="C1419" s="35"/>
      <c r="D1419" s="35"/>
      <c r="E1419" s="35"/>
      <c r="F1419" s="268"/>
    </row>
    <row r="1420" spans="1:6" x14ac:dyDescent="0.25">
      <c r="A1420" s="35"/>
      <c r="C1420" s="35"/>
      <c r="D1420" s="35"/>
      <c r="E1420" s="35"/>
      <c r="F1420" s="268"/>
    </row>
    <row r="1421" spans="1:6" x14ac:dyDescent="0.25">
      <c r="A1421" s="35"/>
      <c r="C1421" s="35"/>
      <c r="D1421" s="35"/>
      <c r="E1421" s="35"/>
      <c r="F1421" s="268"/>
    </row>
    <row r="1422" spans="1:6" x14ac:dyDescent="0.25">
      <c r="A1422" s="35"/>
      <c r="C1422" s="35"/>
      <c r="D1422" s="35"/>
      <c r="E1422" s="35"/>
      <c r="F1422" s="268"/>
    </row>
    <row r="1423" spans="1:6" x14ac:dyDescent="0.25">
      <c r="A1423" s="35"/>
      <c r="C1423" s="35"/>
      <c r="D1423" s="35"/>
      <c r="E1423" s="35"/>
      <c r="F1423" s="268"/>
    </row>
    <row r="1424" spans="1:6" x14ac:dyDescent="0.25">
      <c r="A1424" s="35"/>
      <c r="C1424" s="35"/>
      <c r="D1424" s="35"/>
      <c r="E1424" s="35"/>
      <c r="F1424" s="268"/>
    </row>
    <row r="1425" spans="1:6" x14ac:dyDescent="0.25">
      <c r="A1425" s="35"/>
      <c r="C1425" s="35"/>
      <c r="D1425" s="35"/>
      <c r="E1425" s="35"/>
      <c r="F1425" s="268"/>
    </row>
    <row r="1426" spans="1:6" x14ac:dyDescent="0.25">
      <c r="A1426" s="35"/>
      <c r="C1426" s="35"/>
      <c r="D1426" s="35"/>
      <c r="E1426" s="35"/>
      <c r="F1426" s="268"/>
    </row>
    <row r="1427" spans="1:6" x14ac:dyDescent="0.25">
      <c r="A1427" s="35"/>
      <c r="C1427" s="35"/>
      <c r="D1427" s="35"/>
      <c r="E1427" s="35"/>
      <c r="F1427" s="268"/>
    </row>
    <row r="1428" spans="1:6" x14ac:dyDescent="0.25">
      <c r="A1428" s="35"/>
      <c r="C1428" s="35"/>
      <c r="D1428" s="35"/>
      <c r="E1428" s="35"/>
      <c r="F1428" s="268"/>
    </row>
    <row r="1429" spans="1:6" x14ac:dyDescent="0.25">
      <c r="A1429" s="35"/>
      <c r="C1429" s="35"/>
      <c r="D1429" s="35"/>
      <c r="E1429" s="35"/>
      <c r="F1429" s="268"/>
    </row>
    <row r="1430" spans="1:6" x14ac:dyDescent="0.25">
      <c r="A1430" s="35"/>
      <c r="C1430" s="35"/>
      <c r="D1430" s="35"/>
      <c r="E1430" s="35"/>
      <c r="F1430" s="268"/>
    </row>
    <row r="1431" spans="1:6" x14ac:dyDescent="0.25">
      <c r="A1431" s="35"/>
      <c r="C1431" s="35"/>
      <c r="D1431" s="35"/>
      <c r="E1431" s="35"/>
      <c r="F1431" s="268"/>
    </row>
    <row r="1432" spans="1:6" x14ac:dyDescent="0.25">
      <c r="A1432" s="35"/>
      <c r="C1432" s="35"/>
      <c r="D1432" s="35"/>
      <c r="E1432" s="35"/>
      <c r="F1432" s="268"/>
    </row>
    <row r="1433" spans="1:6" x14ac:dyDescent="0.25">
      <c r="A1433" s="35"/>
      <c r="C1433" s="35"/>
      <c r="D1433" s="35"/>
      <c r="E1433" s="35"/>
      <c r="F1433" s="268"/>
    </row>
    <row r="1434" spans="1:6" x14ac:dyDescent="0.25">
      <c r="A1434" s="35"/>
      <c r="C1434" s="35"/>
      <c r="D1434" s="35"/>
      <c r="E1434" s="35"/>
      <c r="F1434" s="268"/>
    </row>
    <row r="1435" spans="1:6" x14ac:dyDescent="0.25">
      <c r="A1435" s="35"/>
      <c r="C1435" s="35"/>
      <c r="D1435" s="35"/>
      <c r="E1435" s="35"/>
      <c r="F1435" s="268"/>
    </row>
    <row r="1436" spans="1:6" x14ac:dyDescent="0.25">
      <c r="A1436" s="35"/>
      <c r="C1436" s="35"/>
      <c r="D1436" s="35"/>
      <c r="E1436" s="35"/>
      <c r="F1436" s="268"/>
    </row>
    <row r="1437" spans="1:6" x14ac:dyDescent="0.25">
      <c r="A1437" s="35"/>
      <c r="C1437" s="35"/>
      <c r="D1437" s="35"/>
      <c r="E1437" s="35"/>
      <c r="F1437" s="268"/>
    </row>
    <row r="1438" spans="1:6" x14ac:dyDescent="0.25">
      <c r="A1438" s="35"/>
      <c r="C1438" s="35"/>
      <c r="D1438" s="35"/>
      <c r="E1438" s="35"/>
      <c r="F1438" s="268"/>
    </row>
    <row r="1439" spans="1:6" x14ac:dyDescent="0.25">
      <c r="A1439" s="35"/>
      <c r="C1439" s="35"/>
      <c r="D1439" s="35"/>
      <c r="E1439" s="35"/>
      <c r="F1439" s="268"/>
    </row>
    <row r="1440" spans="1:6" x14ac:dyDescent="0.25">
      <c r="A1440" s="35"/>
      <c r="C1440" s="35"/>
      <c r="D1440" s="35"/>
      <c r="E1440" s="35"/>
      <c r="F1440" s="268"/>
    </row>
    <row r="1441" spans="1:6" x14ac:dyDescent="0.25">
      <c r="A1441" s="35"/>
      <c r="C1441" s="35"/>
      <c r="D1441" s="35"/>
      <c r="E1441" s="35"/>
      <c r="F1441" s="268"/>
    </row>
    <row r="1442" spans="1:6" x14ac:dyDescent="0.25">
      <c r="A1442" s="35"/>
      <c r="C1442" s="35"/>
      <c r="D1442" s="35"/>
      <c r="E1442" s="35"/>
      <c r="F1442" s="268"/>
    </row>
    <row r="1443" spans="1:6" x14ac:dyDescent="0.25">
      <c r="A1443" s="35"/>
      <c r="C1443" s="35"/>
      <c r="D1443" s="35"/>
      <c r="E1443" s="35"/>
      <c r="F1443" s="268"/>
    </row>
    <row r="1444" spans="1:6" x14ac:dyDescent="0.25">
      <c r="A1444" s="35"/>
      <c r="C1444" s="35"/>
      <c r="D1444" s="35"/>
      <c r="E1444" s="35"/>
      <c r="F1444" s="268"/>
    </row>
    <row r="1445" spans="1:6" x14ac:dyDescent="0.25">
      <c r="A1445" s="35"/>
      <c r="C1445" s="35"/>
      <c r="D1445" s="35"/>
      <c r="E1445" s="35"/>
      <c r="F1445" s="268"/>
    </row>
    <row r="1446" spans="1:6" x14ac:dyDescent="0.25">
      <c r="A1446" s="35"/>
      <c r="C1446" s="35"/>
      <c r="D1446" s="35"/>
      <c r="E1446" s="35"/>
      <c r="F1446" s="268"/>
    </row>
    <row r="1447" spans="1:6" x14ac:dyDescent="0.25">
      <c r="A1447" s="35"/>
      <c r="C1447" s="35"/>
      <c r="D1447" s="35"/>
      <c r="E1447" s="35"/>
      <c r="F1447" s="268"/>
    </row>
    <row r="1448" spans="1:6" x14ac:dyDescent="0.25">
      <c r="A1448" s="35"/>
      <c r="C1448" s="35"/>
      <c r="D1448" s="35"/>
      <c r="E1448" s="35"/>
      <c r="F1448" s="268"/>
    </row>
    <row r="1449" spans="1:6" x14ac:dyDescent="0.25">
      <c r="A1449" s="35"/>
      <c r="C1449" s="35"/>
      <c r="D1449" s="35"/>
      <c r="E1449" s="35"/>
      <c r="F1449" s="268"/>
    </row>
    <row r="1450" spans="1:6" x14ac:dyDescent="0.25">
      <c r="A1450" s="35"/>
      <c r="C1450" s="35"/>
      <c r="D1450" s="35"/>
      <c r="E1450" s="35"/>
      <c r="F1450" s="268"/>
    </row>
    <row r="1451" spans="1:6" x14ac:dyDescent="0.25">
      <c r="A1451" s="35"/>
      <c r="C1451" s="35"/>
      <c r="D1451" s="35"/>
      <c r="E1451" s="35"/>
      <c r="F1451" s="268"/>
    </row>
    <row r="1452" spans="1:6" x14ac:dyDescent="0.25">
      <c r="A1452" s="35"/>
      <c r="C1452" s="35"/>
      <c r="D1452" s="35"/>
      <c r="E1452" s="35"/>
      <c r="F1452" s="268"/>
    </row>
    <row r="1453" spans="1:6" x14ac:dyDescent="0.25">
      <c r="A1453" s="35"/>
      <c r="C1453" s="35"/>
      <c r="D1453" s="35"/>
      <c r="E1453" s="35"/>
      <c r="F1453" s="268"/>
    </row>
    <row r="1454" spans="1:6" x14ac:dyDescent="0.25">
      <c r="A1454" s="35"/>
      <c r="C1454" s="35"/>
      <c r="D1454" s="35"/>
      <c r="E1454" s="35"/>
      <c r="F1454" s="268"/>
    </row>
    <row r="1455" spans="1:6" x14ac:dyDescent="0.25">
      <c r="A1455" s="35"/>
      <c r="C1455" s="35"/>
      <c r="D1455" s="35"/>
      <c r="E1455" s="35"/>
      <c r="F1455" s="268"/>
    </row>
    <row r="1456" spans="1:6" x14ac:dyDescent="0.25">
      <c r="A1456" s="35"/>
      <c r="C1456" s="35"/>
      <c r="D1456" s="35"/>
      <c r="E1456" s="35"/>
      <c r="F1456" s="268"/>
    </row>
    <row r="1457" spans="1:6" x14ac:dyDescent="0.25">
      <c r="A1457" s="35"/>
      <c r="C1457" s="35"/>
      <c r="D1457" s="35"/>
      <c r="E1457" s="35"/>
      <c r="F1457" s="268"/>
    </row>
    <row r="1458" spans="1:6" x14ac:dyDescent="0.25">
      <c r="A1458" s="35"/>
      <c r="C1458" s="35"/>
      <c r="D1458" s="35"/>
      <c r="E1458" s="35"/>
      <c r="F1458" s="268"/>
    </row>
    <row r="1459" spans="1:6" x14ac:dyDescent="0.25">
      <c r="A1459" s="35"/>
      <c r="C1459" s="35"/>
      <c r="D1459" s="35"/>
      <c r="E1459" s="35"/>
      <c r="F1459" s="268"/>
    </row>
    <row r="1460" spans="1:6" x14ac:dyDescent="0.25">
      <c r="A1460" s="35"/>
      <c r="C1460" s="35"/>
      <c r="D1460" s="35"/>
      <c r="E1460" s="35"/>
      <c r="F1460" s="268"/>
    </row>
    <row r="1461" spans="1:6" x14ac:dyDescent="0.25">
      <c r="A1461" s="35"/>
      <c r="C1461" s="35"/>
      <c r="D1461" s="35"/>
      <c r="E1461" s="35"/>
      <c r="F1461" s="268"/>
    </row>
    <row r="1462" spans="1:6" x14ac:dyDescent="0.25">
      <c r="A1462" s="35"/>
      <c r="C1462" s="35"/>
      <c r="D1462" s="35"/>
      <c r="E1462" s="35"/>
      <c r="F1462" s="268"/>
    </row>
    <row r="1463" spans="1:6" x14ac:dyDescent="0.25">
      <c r="A1463" s="35"/>
      <c r="C1463" s="35"/>
      <c r="D1463" s="35"/>
      <c r="E1463" s="35"/>
      <c r="F1463" s="268"/>
    </row>
    <row r="1464" spans="1:6" x14ac:dyDescent="0.25">
      <c r="A1464" s="35"/>
      <c r="C1464" s="35"/>
      <c r="D1464" s="35"/>
      <c r="E1464" s="35"/>
      <c r="F1464" s="268"/>
    </row>
    <row r="1465" spans="1:6" x14ac:dyDescent="0.25">
      <c r="A1465" s="35"/>
      <c r="C1465" s="35"/>
      <c r="D1465" s="35"/>
      <c r="E1465" s="35"/>
      <c r="F1465" s="268"/>
    </row>
    <row r="1466" spans="1:6" x14ac:dyDescent="0.25">
      <c r="A1466" s="35"/>
      <c r="C1466" s="35"/>
      <c r="D1466" s="35"/>
      <c r="E1466" s="35"/>
      <c r="F1466" s="268"/>
    </row>
    <row r="1467" spans="1:6" x14ac:dyDescent="0.25">
      <c r="A1467" s="35"/>
      <c r="C1467" s="35"/>
      <c r="D1467" s="35"/>
      <c r="E1467" s="35"/>
      <c r="F1467" s="268"/>
    </row>
    <row r="1468" spans="1:6" x14ac:dyDescent="0.25">
      <c r="A1468" s="35"/>
      <c r="C1468" s="35"/>
      <c r="D1468" s="35"/>
      <c r="E1468" s="35"/>
      <c r="F1468" s="268"/>
    </row>
    <row r="1469" spans="1:6" x14ac:dyDescent="0.25">
      <c r="A1469" s="35"/>
      <c r="C1469" s="35"/>
      <c r="D1469" s="35"/>
      <c r="E1469" s="35"/>
      <c r="F1469" s="268"/>
    </row>
    <row r="1470" spans="1:6" x14ac:dyDescent="0.25">
      <c r="A1470" s="35"/>
      <c r="C1470" s="35"/>
      <c r="D1470" s="35"/>
      <c r="E1470" s="35"/>
      <c r="F1470" s="268"/>
    </row>
    <row r="1471" spans="1:6" x14ac:dyDescent="0.25">
      <c r="A1471" s="35"/>
      <c r="C1471" s="35"/>
      <c r="D1471" s="35"/>
      <c r="E1471" s="35"/>
      <c r="F1471" s="268"/>
    </row>
    <row r="1472" spans="1:6" x14ac:dyDescent="0.25">
      <c r="A1472" s="35"/>
      <c r="C1472" s="35"/>
      <c r="D1472" s="35"/>
      <c r="E1472" s="35"/>
      <c r="F1472" s="268"/>
    </row>
    <row r="1473" spans="1:6" x14ac:dyDescent="0.25">
      <c r="A1473" s="35"/>
      <c r="C1473" s="35"/>
      <c r="D1473" s="35"/>
      <c r="E1473" s="35"/>
      <c r="F1473" s="268"/>
    </row>
    <row r="1474" spans="1:6" x14ac:dyDescent="0.25">
      <c r="A1474" s="35"/>
      <c r="C1474" s="35"/>
      <c r="D1474" s="35"/>
      <c r="E1474" s="35"/>
      <c r="F1474" s="268"/>
    </row>
    <row r="1475" spans="1:6" x14ac:dyDescent="0.25">
      <c r="A1475" s="35"/>
      <c r="C1475" s="35"/>
      <c r="D1475" s="35"/>
      <c r="E1475" s="35"/>
      <c r="F1475" s="268"/>
    </row>
    <row r="1476" spans="1:6" x14ac:dyDescent="0.25">
      <c r="A1476" s="35"/>
      <c r="C1476" s="35"/>
      <c r="D1476" s="35"/>
      <c r="E1476" s="35"/>
      <c r="F1476" s="268"/>
    </row>
    <row r="1477" spans="1:6" x14ac:dyDescent="0.25">
      <c r="A1477" s="35"/>
      <c r="C1477" s="35"/>
      <c r="D1477" s="35"/>
      <c r="E1477" s="35"/>
      <c r="F1477" s="268"/>
    </row>
    <row r="1478" spans="1:6" x14ac:dyDescent="0.25">
      <c r="A1478" s="35"/>
      <c r="C1478" s="35"/>
      <c r="D1478" s="35"/>
      <c r="E1478" s="35"/>
      <c r="F1478" s="268"/>
    </row>
    <row r="1479" spans="1:6" x14ac:dyDescent="0.25">
      <c r="A1479" s="35"/>
      <c r="C1479" s="35"/>
      <c r="D1479" s="35"/>
      <c r="E1479" s="35"/>
      <c r="F1479" s="268"/>
    </row>
    <row r="1480" spans="1:6" x14ac:dyDescent="0.25">
      <c r="A1480" s="35"/>
      <c r="C1480" s="35"/>
      <c r="D1480" s="35"/>
      <c r="E1480" s="35"/>
      <c r="F1480" s="268"/>
    </row>
    <row r="1481" spans="1:6" x14ac:dyDescent="0.25">
      <c r="A1481" s="35"/>
      <c r="C1481" s="35"/>
      <c r="D1481" s="35"/>
      <c r="E1481" s="35"/>
      <c r="F1481" s="268"/>
    </row>
    <row r="1482" spans="1:6" x14ac:dyDescent="0.25">
      <c r="A1482" s="35"/>
      <c r="C1482" s="35"/>
      <c r="D1482" s="35"/>
      <c r="E1482" s="35"/>
      <c r="F1482" s="268"/>
    </row>
    <row r="1483" spans="1:6" x14ac:dyDescent="0.25">
      <c r="A1483" s="35"/>
      <c r="C1483" s="35"/>
      <c r="D1483" s="35"/>
      <c r="E1483" s="35"/>
      <c r="F1483" s="268"/>
    </row>
    <row r="1484" spans="1:6" x14ac:dyDescent="0.25">
      <c r="A1484" s="35"/>
      <c r="C1484" s="35"/>
      <c r="D1484" s="35"/>
      <c r="E1484" s="35"/>
      <c r="F1484" s="268"/>
    </row>
    <row r="1485" spans="1:6" x14ac:dyDescent="0.25">
      <c r="A1485" s="35"/>
      <c r="C1485" s="35"/>
      <c r="D1485" s="35"/>
      <c r="E1485" s="35"/>
      <c r="F1485" s="268"/>
    </row>
    <row r="1486" spans="1:6" x14ac:dyDescent="0.25">
      <c r="A1486" s="35"/>
      <c r="C1486" s="35"/>
      <c r="D1486" s="35"/>
      <c r="E1486" s="35"/>
      <c r="F1486" s="268"/>
    </row>
    <row r="1487" spans="1:6" x14ac:dyDescent="0.25">
      <c r="A1487" s="35"/>
      <c r="C1487" s="35"/>
      <c r="D1487" s="35"/>
      <c r="E1487" s="35"/>
      <c r="F1487" s="268"/>
    </row>
    <row r="1488" spans="1:6" x14ac:dyDescent="0.25">
      <c r="A1488" s="35"/>
      <c r="C1488" s="35"/>
      <c r="D1488" s="35"/>
      <c r="E1488" s="35"/>
      <c r="F1488" s="268"/>
    </row>
    <row r="1489" spans="1:6" x14ac:dyDescent="0.25">
      <c r="A1489" s="35"/>
      <c r="C1489" s="35"/>
      <c r="D1489" s="35"/>
      <c r="E1489" s="35"/>
      <c r="F1489" s="268"/>
    </row>
    <row r="1490" spans="1:6" x14ac:dyDescent="0.25">
      <c r="A1490" s="35"/>
      <c r="C1490" s="35"/>
      <c r="D1490" s="35"/>
      <c r="E1490" s="35"/>
      <c r="F1490" s="268"/>
    </row>
    <row r="1491" spans="1:6" x14ac:dyDescent="0.25">
      <c r="A1491" s="35"/>
      <c r="C1491" s="35"/>
      <c r="D1491" s="35"/>
      <c r="E1491" s="35"/>
      <c r="F1491" s="268"/>
    </row>
    <row r="1492" spans="1:6" x14ac:dyDescent="0.25">
      <c r="A1492" s="35"/>
      <c r="C1492" s="35"/>
      <c r="D1492" s="35"/>
      <c r="E1492" s="35"/>
      <c r="F1492" s="268"/>
    </row>
    <row r="1493" spans="1:6" x14ac:dyDescent="0.25">
      <c r="A1493" s="35"/>
      <c r="C1493" s="35"/>
      <c r="D1493" s="35"/>
      <c r="E1493" s="35"/>
      <c r="F1493" s="268"/>
    </row>
    <row r="1494" spans="1:6" x14ac:dyDescent="0.25">
      <c r="A1494" s="35"/>
      <c r="C1494" s="35"/>
      <c r="D1494" s="35"/>
      <c r="E1494" s="35"/>
      <c r="F1494" s="268"/>
    </row>
    <row r="1495" spans="1:6" x14ac:dyDescent="0.25">
      <c r="A1495" s="35"/>
      <c r="C1495" s="35"/>
      <c r="D1495" s="35"/>
      <c r="E1495" s="35"/>
      <c r="F1495" s="268"/>
    </row>
    <row r="1496" spans="1:6" x14ac:dyDescent="0.25">
      <c r="A1496" s="35"/>
      <c r="C1496" s="35"/>
      <c r="D1496" s="35"/>
      <c r="E1496" s="35"/>
      <c r="F1496" s="268"/>
    </row>
    <row r="1497" spans="1:6" x14ac:dyDescent="0.25">
      <c r="A1497" s="35"/>
      <c r="C1497" s="35"/>
      <c r="D1497" s="35"/>
      <c r="E1497" s="35"/>
      <c r="F1497" s="268"/>
    </row>
    <row r="1498" spans="1:6" x14ac:dyDescent="0.25">
      <c r="A1498" s="35"/>
      <c r="C1498" s="35"/>
      <c r="D1498" s="35"/>
      <c r="E1498" s="35"/>
      <c r="F1498" s="268"/>
    </row>
    <row r="1499" spans="1:6" x14ac:dyDescent="0.25">
      <c r="A1499" s="35"/>
      <c r="C1499" s="35"/>
      <c r="D1499" s="35"/>
      <c r="E1499" s="35"/>
      <c r="F1499" s="268"/>
    </row>
    <row r="1500" spans="1:6" x14ac:dyDescent="0.25">
      <c r="A1500" s="35"/>
      <c r="C1500" s="35"/>
      <c r="D1500" s="35"/>
      <c r="E1500" s="35"/>
      <c r="F1500" s="268"/>
    </row>
    <row r="1501" spans="1:6" x14ac:dyDescent="0.25">
      <c r="A1501" s="35"/>
      <c r="C1501" s="35"/>
      <c r="D1501" s="35"/>
      <c r="E1501" s="35"/>
      <c r="F1501" s="268"/>
    </row>
    <row r="1502" spans="1:6" x14ac:dyDescent="0.25">
      <c r="A1502" s="35"/>
      <c r="C1502" s="35"/>
      <c r="D1502" s="35"/>
      <c r="E1502" s="35"/>
      <c r="F1502" s="268"/>
    </row>
    <row r="1503" spans="1:6" x14ac:dyDescent="0.25">
      <c r="A1503" s="35"/>
      <c r="C1503" s="35"/>
      <c r="D1503" s="35"/>
      <c r="E1503" s="35"/>
      <c r="F1503" s="268"/>
    </row>
    <row r="1504" spans="1:6" x14ac:dyDescent="0.25">
      <c r="A1504" s="35"/>
      <c r="C1504" s="35"/>
      <c r="D1504" s="35"/>
      <c r="E1504" s="35"/>
      <c r="F1504" s="268"/>
    </row>
    <row r="1505" spans="1:6" x14ac:dyDescent="0.25">
      <c r="A1505" s="35"/>
      <c r="C1505" s="35"/>
      <c r="D1505" s="35"/>
      <c r="E1505" s="35"/>
      <c r="F1505" s="268"/>
    </row>
    <row r="1506" spans="1:6" x14ac:dyDescent="0.25">
      <c r="A1506" s="35"/>
      <c r="C1506" s="35"/>
      <c r="D1506" s="35"/>
      <c r="E1506" s="35"/>
      <c r="F1506" s="268"/>
    </row>
    <row r="1507" spans="1:6" x14ac:dyDescent="0.25">
      <c r="A1507" s="35"/>
      <c r="C1507" s="35"/>
      <c r="D1507" s="35"/>
      <c r="E1507" s="35"/>
      <c r="F1507" s="268"/>
    </row>
    <row r="1508" spans="1:6" x14ac:dyDescent="0.25">
      <c r="A1508" s="35"/>
      <c r="C1508" s="35"/>
      <c r="D1508" s="35"/>
      <c r="E1508" s="35"/>
      <c r="F1508" s="268"/>
    </row>
    <row r="1509" spans="1:6" x14ac:dyDescent="0.25">
      <c r="A1509" s="35"/>
      <c r="C1509" s="35"/>
      <c r="D1509" s="35"/>
      <c r="E1509" s="35"/>
      <c r="F1509" s="268"/>
    </row>
    <row r="1510" spans="1:6" x14ac:dyDescent="0.25">
      <c r="A1510" s="35"/>
      <c r="C1510" s="35"/>
      <c r="D1510" s="35"/>
      <c r="E1510" s="35"/>
      <c r="F1510" s="268"/>
    </row>
    <row r="1511" spans="1:6" x14ac:dyDescent="0.25">
      <c r="A1511" s="35"/>
      <c r="C1511" s="35"/>
      <c r="D1511" s="35"/>
      <c r="E1511" s="35"/>
      <c r="F1511" s="268"/>
    </row>
    <row r="1512" spans="1:6" x14ac:dyDescent="0.25">
      <c r="A1512" s="35"/>
      <c r="C1512" s="35"/>
      <c r="D1512" s="35"/>
      <c r="E1512" s="35"/>
      <c r="F1512" s="268"/>
    </row>
    <row r="1513" spans="1:6" x14ac:dyDescent="0.25">
      <c r="A1513" s="35"/>
      <c r="C1513" s="35"/>
      <c r="D1513" s="35"/>
      <c r="E1513" s="35"/>
      <c r="F1513" s="268"/>
    </row>
    <row r="1514" spans="1:6" x14ac:dyDescent="0.25">
      <c r="A1514" s="35"/>
      <c r="C1514" s="35"/>
      <c r="D1514" s="35"/>
      <c r="E1514" s="35"/>
      <c r="F1514" s="268"/>
    </row>
    <row r="1515" spans="1:6" x14ac:dyDescent="0.25">
      <c r="A1515" s="35"/>
      <c r="C1515" s="35"/>
      <c r="D1515" s="35"/>
      <c r="E1515" s="35"/>
      <c r="F1515" s="268"/>
    </row>
    <row r="1516" spans="1:6" x14ac:dyDescent="0.25">
      <c r="A1516" s="35"/>
      <c r="C1516" s="35"/>
      <c r="D1516" s="35"/>
      <c r="E1516" s="35"/>
      <c r="F1516" s="268"/>
    </row>
    <row r="1517" spans="1:6" x14ac:dyDescent="0.25">
      <c r="A1517" s="35"/>
      <c r="C1517" s="35"/>
      <c r="D1517" s="35"/>
      <c r="E1517" s="35"/>
      <c r="F1517" s="268"/>
    </row>
    <row r="1518" spans="1:6" x14ac:dyDescent="0.25">
      <c r="A1518" s="35"/>
      <c r="C1518" s="35"/>
      <c r="D1518" s="35"/>
      <c r="E1518" s="35"/>
      <c r="F1518" s="268"/>
    </row>
    <row r="1519" spans="1:6" x14ac:dyDescent="0.25">
      <c r="A1519" s="35"/>
      <c r="C1519" s="35"/>
      <c r="D1519" s="35"/>
      <c r="E1519" s="35"/>
      <c r="F1519" s="268"/>
    </row>
    <row r="1520" spans="1:6" x14ac:dyDescent="0.25">
      <c r="A1520" s="35"/>
      <c r="C1520" s="35"/>
      <c r="D1520" s="35"/>
      <c r="E1520" s="35"/>
      <c r="F1520" s="268"/>
    </row>
    <row r="1521" spans="1:6" x14ac:dyDescent="0.25">
      <c r="A1521" s="35"/>
      <c r="C1521" s="35"/>
      <c r="D1521" s="35"/>
      <c r="E1521" s="35"/>
      <c r="F1521" s="268"/>
    </row>
    <row r="1522" spans="1:6" x14ac:dyDescent="0.25">
      <c r="A1522" s="35"/>
      <c r="C1522" s="35"/>
      <c r="D1522" s="35"/>
      <c r="E1522" s="35"/>
      <c r="F1522" s="268"/>
    </row>
    <row r="1523" spans="1:6" x14ac:dyDescent="0.25">
      <c r="A1523" s="35"/>
      <c r="C1523" s="35"/>
      <c r="D1523" s="35"/>
      <c r="E1523" s="35"/>
      <c r="F1523" s="268"/>
    </row>
    <row r="1524" spans="1:6" x14ac:dyDescent="0.25">
      <c r="A1524" s="35"/>
      <c r="C1524" s="35"/>
      <c r="D1524" s="35"/>
      <c r="E1524" s="35"/>
      <c r="F1524" s="268"/>
    </row>
    <row r="1525" spans="1:6" x14ac:dyDescent="0.25">
      <c r="A1525" s="35"/>
      <c r="C1525" s="35"/>
      <c r="D1525" s="35"/>
      <c r="E1525" s="35"/>
      <c r="F1525" s="268"/>
    </row>
    <row r="1526" spans="1:6" x14ac:dyDescent="0.25">
      <c r="A1526" s="35"/>
      <c r="C1526" s="35"/>
      <c r="D1526" s="35"/>
      <c r="E1526" s="35"/>
      <c r="F1526" s="268"/>
    </row>
    <row r="1527" spans="1:6" x14ac:dyDescent="0.25">
      <c r="A1527" s="35"/>
      <c r="C1527" s="35"/>
      <c r="D1527" s="35"/>
      <c r="E1527" s="35"/>
      <c r="F1527" s="268"/>
    </row>
    <row r="1528" spans="1:6" x14ac:dyDescent="0.25">
      <c r="A1528" s="35"/>
      <c r="C1528" s="35"/>
      <c r="D1528" s="35"/>
      <c r="E1528" s="35"/>
      <c r="F1528" s="268"/>
    </row>
    <row r="1529" spans="1:6" x14ac:dyDescent="0.25">
      <c r="A1529" s="35"/>
      <c r="C1529" s="35"/>
      <c r="D1529" s="35"/>
      <c r="E1529" s="35"/>
      <c r="F1529" s="268"/>
    </row>
    <row r="1530" spans="1:6" x14ac:dyDescent="0.25">
      <c r="A1530" s="35"/>
      <c r="C1530" s="35"/>
      <c r="D1530" s="35"/>
      <c r="E1530" s="35"/>
      <c r="F1530" s="268"/>
    </row>
    <row r="1531" spans="1:6" x14ac:dyDescent="0.25">
      <c r="A1531" s="35"/>
      <c r="C1531" s="35"/>
      <c r="D1531" s="35"/>
      <c r="E1531" s="35"/>
      <c r="F1531" s="268"/>
    </row>
    <row r="1532" spans="1:6" x14ac:dyDescent="0.25">
      <c r="A1532" s="35"/>
      <c r="C1532" s="35"/>
      <c r="D1532" s="35"/>
      <c r="E1532" s="35"/>
      <c r="F1532" s="268"/>
    </row>
    <row r="1533" spans="1:6" x14ac:dyDescent="0.25">
      <c r="A1533" s="35"/>
      <c r="C1533" s="35"/>
      <c r="D1533" s="35"/>
      <c r="E1533" s="35"/>
      <c r="F1533" s="268"/>
    </row>
    <row r="1534" spans="1:6" x14ac:dyDescent="0.25">
      <c r="A1534" s="35"/>
      <c r="C1534" s="35"/>
      <c r="D1534" s="35"/>
      <c r="E1534" s="35"/>
      <c r="F1534" s="268"/>
    </row>
    <row r="1535" spans="1:6" x14ac:dyDescent="0.25">
      <c r="A1535" s="35"/>
      <c r="C1535" s="35"/>
      <c r="D1535" s="35"/>
      <c r="E1535" s="35"/>
      <c r="F1535" s="268"/>
    </row>
    <row r="1536" spans="1:6" x14ac:dyDescent="0.25">
      <c r="A1536" s="35"/>
      <c r="C1536" s="35"/>
      <c r="D1536" s="35"/>
      <c r="E1536" s="35"/>
      <c r="F1536" s="268"/>
    </row>
    <row r="1537" spans="1:6" x14ac:dyDescent="0.25">
      <c r="A1537" s="35"/>
      <c r="C1537" s="35"/>
      <c r="D1537" s="35"/>
      <c r="E1537" s="35"/>
      <c r="F1537" s="268"/>
    </row>
    <row r="1538" spans="1:6" x14ac:dyDescent="0.25">
      <c r="A1538" s="35"/>
      <c r="C1538" s="35"/>
      <c r="D1538" s="35"/>
      <c r="E1538" s="35"/>
      <c r="F1538" s="268"/>
    </row>
    <row r="1539" spans="1:6" x14ac:dyDescent="0.25">
      <c r="A1539" s="35"/>
      <c r="C1539" s="35"/>
      <c r="D1539" s="35"/>
      <c r="E1539" s="35"/>
      <c r="F1539" s="268"/>
    </row>
    <row r="1540" spans="1:6" x14ac:dyDescent="0.25">
      <c r="A1540" s="35"/>
      <c r="C1540" s="35"/>
      <c r="D1540" s="35"/>
      <c r="E1540" s="35"/>
      <c r="F1540" s="268"/>
    </row>
    <row r="1541" spans="1:6" x14ac:dyDescent="0.25">
      <c r="A1541" s="35"/>
      <c r="C1541" s="35"/>
      <c r="D1541" s="35"/>
      <c r="E1541" s="35"/>
      <c r="F1541" s="268"/>
    </row>
    <row r="1542" spans="1:6" x14ac:dyDescent="0.25">
      <c r="A1542" s="35"/>
      <c r="C1542" s="35"/>
      <c r="D1542" s="35"/>
      <c r="E1542" s="35"/>
      <c r="F1542" s="268"/>
    </row>
    <row r="1543" spans="1:6" x14ac:dyDescent="0.25">
      <c r="A1543" s="35"/>
      <c r="C1543" s="35"/>
      <c r="D1543" s="35"/>
      <c r="E1543" s="35"/>
      <c r="F1543" s="268"/>
    </row>
    <row r="1544" spans="1:6" x14ac:dyDescent="0.25">
      <c r="A1544" s="35"/>
      <c r="C1544" s="35"/>
      <c r="D1544" s="35"/>
      <c r="E1544" s="35"/>
      <c r="F1544" s="268"/>
    </row>
    <row r="1545" spans="1:6" x14ac:dyDescent="0.25">
      <c r="A1545" s="35"/>
      <c r="C1545" s="35"/>
      <c r="D1545" s="35"/>
      <c r="E1545" s="35"/>
      <c r="F1545" s="268"/>
    </row>
    <row r="1546" spans="1:6" x14ac:dyDescent="0.25">
      <c r="A1546" s="35"/>
      <c r="C1546" s="35"/>
      <c r="D1546" s="35"/>
      <c r="E1546" s="35"/>
      <c r="F1546" s="268"/>
    </row>
    <row r="1547" spans="1:6" x14ac:dyDescent="0.25">
      <c r="A1547" s="35"/>
      <c r="C1547" s="35"/>
      <c r="D1547" s="35"/>
      <c r="E1547" s="35"/>
      <c r="F1547" s="268"/>
    </row>
    <row r="1548" spans="1:6" x14ac:dyDescent="0.25">
      <c r="A1548" s="35"/>
      <c r="C1548" s="35"/>
      <c r="D1548" s="35"/>
      <c r="E1548" s="35"/>
      <c r="F1548" s="268"/>
    </row>
    <row r="1549" spans="1:6" x14ac:dyDescent="0.25">
      <c r="A1549" s="35"/>
      <c r="C1549" s="35"/>
      <c r="D1549" s="35"/>
      <c r="E1549" s="35"/>
      <c r="F1549" s="268"/>
    </row>
    <row r="1550" spans="1:6" x14ac:dyDescent="0.25">
      <c r="A1550" s="35"/>
      <c r="C1550" s="35"/>
      <c r="D1550" s="35"/>
      <c r="E1550" s="35"/>
      <c r="F1550" s="268"/>
    </row>
    <row r="1551" spans="1:6" x14ac:dyDescent="0.25">
      <c r="A1551" s="35"/>
      <c r="C1551" s="35"/>
      <c r="D1551" s="35"/>
      <c r="E1551" s="35"/>
      <c r="F1551" s="268"/>
    </row>
    <row r="1552" spans="1:6" x14ac:dyDescent="0.25">
      <c r="A1552" s="35"/>
      <c r="C1552" s="35"/>
      <c r="D1552" s="35"/>
      <c r="E1552" s="35"/>
      <c r="F1552" s="268"/>
    </row>
    <row r="1553" spans="1:6" x14ac:dyDescent="0.25">
      <c r="A1553" s="35"/>
      <c r="C1553" s="35"/>
      <c r="D1553" s="35"/>
      <c r="E1553" s="35"/>
      <c r="F1553" s="268"/>
    </row>
    <row r="1554" spans="1:6" x14ac:dyDescent="0.25">
      <c r="A1554" s="35"/>
      <c r="C1554" s="35"/>
      <c r="D1554" s="35"/>
      <c r="E1554" s="35"/>
      <c r="F1554" s="268"/>
    </row>
    <row r="1555" spans="1:6" x14ac:dyDescent="0.25">
      <c r="A1555" s="35"/>
      <c r="C1555" s="35"/>
      <c r="D1555" s="35"/>
      <c r="E1555" s="35"/>
      <c r="F1555" s="268"/>
    </row>
    <row r="1556" spans="1:6" x14ac:dyDescent="0.25">
      <c r="A1556" s="35"/>
      <c r="C1556" s="35"/>
      <c r="D1556" s="35"/>
      <c r="E1556" s="35"/>
      <c r="F1556" s="268"/>
    </row>
    <row r="1557" spans="1:6" x14ac:dyDescent="0.25">
      <c r="A1557" s="35"/>
      <c r="C1557" s="35"/>
      <c r="D1557" s="35"/>
      <c r="E1557" s="35"/>
      <c r="F1557" s="268"/>
    </row>
    <row r="1558" spans="1:6" x14ac:dyDescent="0.25">
      <c r="A1558" s="35"/>
      <c r="C1558" s="35"/>
      <c r="D1558" s="35"/>
      <c r="E1558" s="35"/>
      <c r="F1558" s="268"/>
    </row>
    <row r="1559" spans="1:6" x14ac:dyDescent="0.25">
      <c r="A1559" s="35"/>
      <c r="C1559" s="35"/>
      <c r="D1559" s="35"/>
      <c r="E1559" s="35"/>
      <c r="F1559" s="268"/>
    </row>
    <row r="1560" spans="1:6" x14ac:dyDescent="0.25">
      <c r="A1560" s="35"/>
      <c r="C1560" s="35"/>
      <c r="D1560" s="35"/>
      <c r="E1560" s="35"/>
      <c r="F1560" s="268"/>
    </row>
    <row r="1561" spans="1:6" x14ac:dyDescent="0.25">
      <c r="A1561" s="35"/>
      <c r="C1561" s="35"/>
      <c r="D1561" s="35"/>
      <c r="E1561" s="35"/>
      <c r="F1561" s="268"/>
    </row>
    <row r="1562" spans="1:6" x14ac:dyDescent="0.25">
      <c r="A1562" s="35"/>
      <c r="C1562" s="35"/>
      <c r="D1562" s="35"/>
      <c r="E1562" s="35"/>
      <c r="F1562" s="268"/>
    </row>
    <row r="1563" spans="1:6" x14ac:dyDescent="0.25">
      <c r="A1563" s="35"/>
      <c r="C1563" s="35"/>
      <c r="D1563" s="35"/>
      <c r="E1563" s="35"/>
      <c r="F1563" s="268"/>
    </row>
    <row r="1564" spans="1:6" x14ac:dyDescent="0.25">
      <c r="A1564" s="35"/>
      <c r="C1564" s="35"/>
      <c r="D1564" s="35"/>
      <c r="E1564" s="35"/>
      <c r="F1564" s="268"/>
    </row>
    <row r="1565" spans="1:6" x14ac:dyDescent="0.25">
      <c r="A1565" s="35"/>
      <c r="C1565" s="35"/>
      <c r="D1565" s="35"/>
      <c r="E1565" s="35"/>
      <c r="F1565" s="268"/>
    </row>
    <row r="1566" spans="1:6" x14ac:dyDescent="0.25">
      <c r="A1566" s="35"/>
      <c r="C1566" s="35"/>
      <c r="D1566" s="35"/>
      <c r="E1566" s="35"/>
      <c r="F1566" s="268"/>
    </row>
    <row r="1567" spans="1:6" x14ac:dyDescent="0.25">
      <c r="A1567" s="35"/>
      <c r="C1567" s="35"/>
      <c r="D1567" s="35"/>
      <c r="E1567" s="35"/>
      <c r="F1567" s="268"/>
    </row>
    <row r="1568" spans="1:6" x14ac:dyDescent="0.25">
      <c r="A1568" s="35"/>
      <c r="C1568" s="35"/>
      <c r="D1568" s="35"/>
      <c r="E1568" s="35"/>
      <c r="F1568" s="268"/>
    </row>
    <row r="1569" spans="1:6" x14ac:dyDescent="0.25">
      <c r="A1569" s="35"/>
      <c r="C1569" s="35"/>
      <c r="D1569" s="35"/>
      <c r="E1569" s="35"/>
      <c r="F1569" s="268"/>
    </row>
    <row r="1570" spans="1:6" x14ac:dyDescent="0.25">
      <c r="A1570" s="35"/>
      <c r="C1570" s="35"/>
      <c r="D1570" s="35"/>
      <c r="E1570" s="35"/>
      <c r="F1570" s="268"/>
    </row>
    <row r="1571" spans="1:6" x14ac:dyDescent="0.25">
      <c r="A1571" s="35"/>
      <c r="C1571" s="35"/>
      <c r="D1571" s="35"/>
      <c r="E1571" s="35"/>
      <c r="F1571" s="268"/>
    </row>
    <row r="1572" spans="1:6" x14ac:dyDescent="0.25">
      <c r="A1572" s="35"/>
      <c r="C1572" s="35"/>
      <c r="D1572" s="35"/>
      <c r="E1572" s="35"/>
      <c r="F1572" s="268"/>
    </row>
    <row r="1573" spans="1:6" x14ac:dyDescent="0.25">
      <c r="A1573" s="35"/>
      <c r="C1573" s="35"/>
      <c r="D1573" s="35"/>
      <c r="E1573" s="35"/>
      <c r="F1573" s="268"/>
    </row>
    <row r="1574" spans="1:6" x14ac:dyDescent="0.25">
      <c r="A1574" s="35"/>
      <c r="C1574" s="35"/>
      <c r="D1574" s="35"/>
      <c r="E1574" s="35"/>
      <c r="F1574" s="268"/>
    </row>
    <row r="1575" spans="1:6" x14ac:dyDescent="0.25">
      <c r="A1575" s="35"/>
      <c r="C1575" s="35"/>
      <c r="D1575" s="35"/>
      <c r="E1575" s="35"/>
      <c r="F1575" s="268"/>
    </row>
    <row r="1576" spans="1:6" x14ac:dyDescent="0.25">
      <c r="A1576" s="35"/>
      <c r="C1576" s="35"/>
      <c r="D1576" s="35"/>
      <c r="E1576" s="35"/>
      <c r="F1576" s="268"/>
    </row>
    <row r="1577" spans="1:6" x14ac:dyDescent="0.25">
      <c r="A1577" s="35"/>
      <c r="C1577" s="35"/>
      <c r="D1577" s="35"/>
      <c r="E1577" s="35"/>
      <c r="F1577" s="268"/>
    </row>
    <row r="1578" spans="1:6" x14ac:dyDescent="0.25">
      <c r="A1578" s="35"/>
      <c r="C1578" s="35"/>
      <c r="D1578" s="35"/>
      <c r="E1578" s="35"/>
      <c r="F1578" s="268"/>
    </row>
    <row r="1579" spans="1:6" x14ac:dyDescent="0.25">
      <c r="A1579" s="35"/>
      <c r="C1579" s="35"/>
      <c r="D1579" s="35"/>
      <c r="E1579" s="35"/>
      <c r="F1579" s="268"/>
    </row>
    <row r="1580" spans="1:6" x14ac:dyDescent="0.25">
      <c r="A1580" s="35"/>
      <c r="C1580" s="35"/>
      <c r="D1580" s="35"/>
      <c r="E1580" s="35"/>
      <c r="F1580" s="268"/>
    </row>
    <row r="1581" spans="1:6" x14ac:dyDescent="0.25">
      <c r="A1581" s="35"/>
      <c r="C1581" s="35"/>
      <c r="D1581" s="35"/>
      <c r="E1581" s="35"/>
      <c r="F1581" s="268"/>
    </row>
    <row r="1582" spans="1:6" x14ac:dyDescent="0.25">
      <c r="A1582" s="35"/>
      <c r="C1582" s="35"/>
      <c r="D1582" s="35"/>
      <c r="E1582" s="35"/>
      <c r="F1582" s="268"/>
    </row>
    <row r="1583" spans="1:6" x14ac:dyDescent="0.25">
      <c r="A1583" s="35"/>
      <c r="C1583" s="35"/>
      <c r="D1583" s="35"/>
      <c r="E1583" s="35"/>
      <c r="F1583" s="268"/>
    </row>
    <row r="1584" spans="1:6" x14ac:dyDescent="0.25">
      <c r="A1584" s="35"/>
      <c r="C1584" s="35"/>
      <c r="D1584" s="35"/>
      <c r="E1584" s="35"/>
      <c r="F1584" s="268"/>
    </row>
    <row r="1585" spans="1:6" x14ac:dyDescent="0.25">
      <c r="A1585" s="35"/>
      <c r="C1585" s="35"/>
      <c r="D1585" s="35"/>
      <c r="E1585" s="35"/>
      <c r="F1585" s="268"/>
    </row>
    <row r="1586" spans="1:6" x14ac:dyDescent="0.25">
      <c r="A1586" s="35"/>
      <c r="C1586" s="35"/>
      <c r="D1586" s="35"/>
      <c r="E1586" s="35"/>
      <c r="F1586" s="268"/>
    </row>
    <row r="1587" spans="1:6" x14ac:dyDescent="0.25">
      <c r="A1587" s="35"/>
      <c r="C1587" s="35"/>
      <c r="D1587" s="35"/>
      <c r="E1587" s="35"/>
      <c r="F1587" s="268"/>
    </row>
    <row r="1588" spans="1:6" x14ac:dyDescent="0.25">
      <c r="A1588" s="35"/>
      <c r="C1588" s="35"/>
      <c r="D1588" s="35"/>
      <c r="E1588" s="35"/>
      <c r="F1588" s="268"/>
    </row>
    <row r="1589" spans="1:6" x14ac:dyDescent="0.25">
      <c r="A1589" s="35"/>
      <c r="C1589" s="35"/>
      <c r="D1589" s="35"/>
      <c r="E1589" s="35"/>
      <c r="F1589" s="268"/>
    </row>
    <row r="1590" spans="1:6" x14ac:dyDescent="0.25">
      <c r="A1590" s="35"/>
      <c r="C1590" s="35"/>
      <c r="D1590" s="35"/>
      <c r="E1590" s="35"/>
      <c r="F1590" s="268"/>
    </row>
    <row r="1591" spans="1:6" x14ac:dyDescent="0.25">
      <c r="A1591" s="35"/>
      <c r="C1591" s="35"/>
      <c r="D1591" s="35"/>
      <c r="E1591" s="35"/>
      <c r="F1591" s="268"/>
    </row>
    <row r="1592" spans="1:6" x14ac:dyDescent="0.25">
      <c r="A1592" s="35"/>
      <c r="C1592" s="35"/>
      <c r="D1592" s="35"/>
      <c r="E1592" s="35"/>
      <c r="F1592" s="268"/>
    </row>
    <row r="1593" spans="1:6" x14ac:dyDescent="0.25">
      <c r="A1593" s="35"/>
      <c r="C1593" s="35"/>
      <c r="D1593" s="35"/>
      <c r="E1593" s="35"/>
      <c r="F1593" s="268"/>
    </row>
    <row r="1594" spans="1:6" x14ac:dyDescent="0.25">
      <c r="A1594" s="35"/>
      <c r="C1594" s="35"/>
      <c r="D1594" s="35"/>
      <c r="E1594" s="35"/>
      <c r="F1594" s="268"/>
    </row>
    <row r="1595" spans="1:6" x14ac:dyDescent="0.25">
      <c r="A1595" s="35"/>
      <c r="C1595" s="35"/>
      <c r="D1595" s="35"/>
      <c r="E1595" s="35"/>
      <c r="F1595" s="268"/>
    </row>
    <row r="1596" spans="1:6" x14ac:dyDescent="0.25">
      <c r="A1596" s="35"/>
      <c r="C1596" s="35"/>
      <c r="D1596" s="35"/>
      <c r="E1596" s="35"/>
      <c r="F1596" s="268"/>
    </row>
    <row r="1597" spans="1:6" x14ac:dyDescent="0.25">
      <c r="A1597" s="35"/>
      <c r="C1597" s="35"/>
      <c r="D1597" s="35"/>
      <c r="E1597" s="35"/>
      <c r="F1597" s="268"/>
    </row>
    <row r="1598" spans="1:6" x14ac:dyDescent="0.25">
      <c r="A1598" s="35"/>
      <c r="C1598" s="35"/>
      <c r="D1598" s="35"/>
      <c r="E1598" s="35"/>
      <c r="F1598" s="268"/>
    </row>
    <row r="1599" spans="1:6" x14ac:dyDescent="0.25">
      <c r="A1599" s="35"/>
      <c r="C1599" s="35"/>
      <c r="D1599" s="35"/>
      <c r="E1599" s="35"/>
      <c r="F1599" s="268"/>
    </row>
    <row r="1600" spans="1:6" x14ac:dyDescent="0.25">
      <c r="A1600" s="35"/>
      <c r="C1600" s="35"/>
      <c r="D1600" s="35"/>
      <c r="E1600" s="35"/>
      <c r="F1600" s="268"/>
    </row>
    <row r="1601" spans="1:6" x14ac:dyDescent="0.25">
      <c r="A1601" s="35"/>
      <c r="C1601" s="35"/>
      <c r="D1601" s="35"/>
      <c r="E1601" s="35"/>
      <c r="F1601" s="268"/>
    </row>
    <row r="1602" spans="1:6" x14ac:dyDescent="0.25">
      <c r="A1602" s="35"/>
      <c r="C1602" s="35"/>
      <c r="D1602" s="35"/>
      <c r="E1602" s="35"/>
      <c r="F1602" s="268"/>
    </row>
    <row r="1603" spans="1:6" x14ac:dyDescent="0.25">
      <c r="A1603" s="35"/>
      <c r="C1603" s="35"/>
      <c r="D1603" s="35"/>
      <c r="E1603" s="35"/>
      <c r="F1603" s="268"/>
    </row>
    <row r="1604" spans="1:6" x14ac:dyDescent="0.25">
      <c r="A1604" s="35"/>
      <c r="C1604" s="35"/>
      <c r="D1604" s="35"/>
      <c r="E1604" s="35"/>
      <c r="F1604" s="268"/>
    </row>
    <row r="1605" spans="1:6" x14ac:dyDescent="0.25">
      <c r="A1605" s="35"/>
      <c r="C1605" s="35"/>
      <c r="D1605" s="35"/>
      <c r="E1605" s="35"/>
      <c r="F1605" s="268"/>
    </row>
    <row r="1606" spans="1:6" x14ac:dyDescent="0.25">
      <c r="A1606" s="35"/>
      <c r="C1606" s="35"/>
      <c r="D1606" s="35"/>
      <c r="E1606" s="35"/>
      <c r="F1606" s="268"/>
    </row>
    <row r="1607" spans="1:6" x14ac:dyDescent="0.25">
      <c r="A1607" s="35"/>
      <c r="C1607" s="35"/>
      <c r="D1607" s="35"/>
      <c r="E1607" s="35"/>
      <c r="F1607" s="268"/>
    </row>
    <row r="1608" spans="1:6" x14ac:dyDescent="0.25">
      <c r="A1608" s="35"/>
      <c r="C1608" s="35"/>
      <c r="D1608" s="35"/>
      <c r="E1608" s="35"/>
      <c r="F1608" s="268"/>
    </row>
    <row r="1609" spans="1:6" x14ac:dyDescent="0.25">
      <c r="A1609" s="35"/>
      <c r="C1609" s="35"/>
      <c r="D1609" s="35"/>
      <c r="E1609" s="35"/>
      <c r="F1609" s="268"/>
    </row>
    <row r="1610" spans="1:6" x14ac:dyDescent="0.25">
      <c r="A1610" s="35"/>
      <c r="C1610" s="35"/>
      <c r="D1610" s="35"/>
      <c r="E1610" s="35"/>
      <c r="F1610" s="268"/>
    </row>
    <row r="1611" spans="1:6" x14ac:dyDescent="0.25">
      <c r="A1611" s="35"/>
      <c r="C1611" s="35"/>
      <c r="D1611" s="35"/>
      <c r="E1611" s="35"/>
      <c r="F1611" s="268"/>
    </row>
    <row r="1612" spans="1:6" x14ac:dyDescent="0.25">
      <c r="A1612" s="35"/>
      <c r="C1612" s="35"/>
      <c r="D1612" s="35"/>
      <c r="E1612" s="35"/>
      <c r="F1612" s="268"/>
    </row>
    <row r="1613" spans="1:6" x14ac:dyDescent="0.25">
      <c r="A1613" s="35"/>
      <c r="C1613" s="35"/>
      <c r="D1613" s="35"/>
      <c r="E1613" s="35"/>
      <c r="F1613" s="268"/>
    </row>
    <row r="1614" spans="1:6" x14ac:dyDescent="0.25">
      <c r="A1614" s="35"/>
      <c r="C1614" s="35"/>
      <c r="D1614" s="35"/>
      <c r="E1614" s="35"/>
      <c r="F1614" s="268"/>
    </row>
    <row r="1615" spans="1:6" x14ac:dyDescent="0.25">
      <c r="A1615" s="35"/>
      <c r="C1615" s="35"/>
      <c r="D1615" s="35"/>
      <c r="E1615" s="35"/>
      <c r="F1615" s="268"/>
    </row>
    <row r="1616" spans="1:6" x14ac:dyDescent="0.25">
      <c r="A1616" s="35"/>
      <c r="C1616" s="35"/>
      <c r="D1616" s="35"/>
      <c r="E1616" s="35"/>
      <c r="F1616" s="268"/>
    </row>
    <row r="1617" spans="1:6" x14ac:dyDescent="0.25">
      <c r="A1617" s="35"/>
      <c r="C1617" s="35"/>
      <c r="D1617" s="35"/>
      <c r="E1617" s="35"/>
      <c r="F1617" s="268"/>
    </row>
    <row r="1618" spans="1:6" x14ac:dyDescent="0.25">
      <c r="A1618" s="35"/>
      <c r="C1618" s="35"/>
      <c r="D1618" s="35"/>
      <c r="E1618" s="35"/>
      <c r="F1618" s="268"/>
    </row>
    <row r="1619" spans="1:6" x14ac:dyDescent="0.25">
      <c r="A1619" s="35"/>
      <c r="C1619" s="35"/>
      <c r="D1619" s="35"/>
      <c r="E1619" s="35"/>
      <c r="F1619" s="268"/>
    </row>
    <row r="1620" spans="1:6" x14ac:dyDescent="0.25">
      <c r="A1620" s="35"/>
      <c r="C1620" s="35"/>
      <c r="D1620" s="35"/>
      <c r="E1620" s="35"/>
      <c r="F1620" s="268"/>
    </row>
    <row r="1621" spans="1:6" x14ac:dyDescent="0.25">
      <c r="A1621" s="35"/>
      <c r="C1621" s="35"/>
      <c r="D1621" s="35"/>
      <c r="E1621" s="35"/>
      <c r="F1621" s="268"/>
    </row>
    <row r="1622" spans="1:6" x14ac:dyDescent="0.25">
      <c r="A1622" s="35"/>
      <c r="C1622" s="35"/>
      <c r="D1622" s="35"/>
      <c r="E1622" s="35"/>
      <c r="F1622" s="268"/>
    </row>
    <row r="1623" spans="1:6" x14ac:dyDescent="0.25">
      <c r="A1623" s="35"/>
      <c r="C1623" s="35"/>
      <c r="D1623" s="35"/>
      <c r="E1623" s="35"/>
      <c r="F1623" s="268"/>
    </row>
    <row r="1624" spans="1:6" x14ac:dyDescent="0.25">
      <c r="A1624" s="35"/>
      <c r="C1624" s="35"/>
      <c r="D1624" s="35"/>
      <c r="E1624" s="35"/>
      <c r="F1624" s="268"/>
    </row>
    <row r="1625" spans="1:6" x14ac:dyDescent="0.25">
      <c r="A1625" s="35"/>
      <c r="C1625" s="35"/>
      <c r="D1625" s="35"/>
      <c r="E1625" s="35"/>
      <c r="F1625" s="268"/>
    </row>
    <row r="1626" spans="1:6" x14ac:dyDescent="0.25">
      <c r="A1626" s="35"/>
      <c r="C1626" s="35"/>
      <c r="D1626" s="35"/>
      <c r="E1626" s="35"/>
      <c r="F1626" s="268"/>
    </row>
    <row r="1627" spans="1:6" x14ac:dyDescent="0.25">
      <c r="A1627" s="35"/>
      <c r="C1627" s="35"/>
      <c r="D1627" s="35"/>
      <c r="E1627" s="35"/>
      <c r="F1627" s="268"/>
    </row>
    <row r="1628" spans="1:6" x14ac:dyDescent="0.25">
      <c r="A1628" s="35"/>
      <c r="C1628" s="35"/>
      <c r="D1628" s="35"/>
      <c r="E1628" s="35"/>
      <c r="F1628" s="268"/>
    </row>
    <row r="1629" spans="1:6" x14ac:dyDescent="0.25">
      <c r="A1629" s="35"/>
      <c r="C1629" s="35"/>
      <c r="D1629" s="35"/>
      <c r="E1629" s="35"/>
      <c r="F1629" s="268"/>
    </row>
    <row r="1630" spans="1:6" x14ac:dyDescent="0.25">
      <c r="A1630" s="35"/>
      <c r="C1630" s="35"/>
      <c r="D1630" s="35"/>
      <c r="E1630" s="35"/>
      <c r="F1630" s="268"/>
    </row>
    <row r="1631" spans="1:6" x14ac:dyDescent="0.25">
      <c r="A1631" s="35"/>
      <c r="C1631" s="35"/>
      <c r="D1631" s="35"/>
      <c r="E1631" s="35"/>
      <c r="F1631" s="268"/>
    </row>
    <row r="1632" spans="1:6" x14ac:dyDescent="0.25">
      <c r="A1632" s="35"/>
      <c r="C1632" s="35"/>
      <c r="D1632" s="35"/>
      <c r="E1632" s="35"/>
      <c r="F1632" s="268"/>
    </row>
    <row r="1633" spans="1:6" x14ac:dyDescent="0.25">
      <c r="A1633" s="35"/>
      <c r="C1633" s="35"/>
      <c r="D1633" s="35"/>
      <c r="E1633" s="35"/>
      <c r="F1633" s="268"/>
    </row>
    <row r="1634" spans="1:6" x14ac:dyDescent="0.25">
      <c r="A1634" s="35"/>
      <c r="C1634" s="35"/>
      <c r="D1634" s="35"/>
      <c r="E1634" s="35"/>
      <c r="F1634" s="268"/>
    </row>
    <row r="1635" spans="1:6" x14ac:dyDescent="0.25">
      <c r="A1635" s="35"/>
      <c r="C1635" s="35"/>
      <c r="D1635" s="35"/>
      <c r="E1635" s="35"/>
      <c r="F1635" s="268"/>
    </row>
    <row r="1636" spans="1:6" x14ac:dyDescent="0.25">
      <c r="A1636" s="35"/>
      <c r="C1636" s="35"/>
      <c r="D1636" s="35"/>
      <c r="E1636" s="35"/>
      <c r="F1636" s="268"/>
    </row>
    <row r="1637" spans="1:6" x14ac:dyDescent="0.25">
      <c r="A1637" s="35"/>
      <c r="C1637" s="35"/>
      <c r="D1637" s="35"/>
      <c r="E1637" s="35"/>
      <c r="F1637" s="268"/>
    </row>
    <row r="1638" spans="1:6" x14ac:dyDescent="0.25">
      <c r="A1638" s="35"/>
      <c r="C1638" s="35"/>
      <c r="D1638" s="35"/>
      <c r="E1638" s="35"/>
      <c r="F1638" s="268"/>
    </row>
    <row r="1639" spans="1:6" x14ac:dyDescent="0.25">
      <c r="A1639" s="35"/>
      <c r="C1639" s="35"/>
      <c r="D1639" s="35"/>
      <c r="E1639" s="35"/>
      <c r="F1639" s="268"/>
    </row>
    <row r="1640" spans="1:6" x14ac:dyDescent="0.25">
      <c r="A1640" s="35"/>
      <c r="C1640" s="35"/>
      <c r="D1640" s="35"/>
      <c r="E1640" s="35"/>
      <c r="F1640" s="268"/>
    </row>
    <row r="1641" spans="1:6" x14ac:dyDescent="0.25">
      <c r="A1641" s="35"/>
      <c r="C1641" s="35"/>
      <c r="D1641" s="35"/>
      <c r="E1641" s="35"/>
      <c r="F1641" s="268"/>
    </row>
    <row r="1642" spans="1:6" x14ac:dyDescent="0.25">
      <c r="A1642" s="35"/>
      <c r="C1642" s="35"/>
      <c r="D1642" s="35"/>
      <c r="E1642" s="35"/>
      <c r="F1642" s="268"/>
    </row>
    <row r="1643" spans="1:6" x14ac:dyDescent="0.25">
      <c r="A1643" s="35"/>
      <c r="C1643" s="35"/>
      <c r="D1643" s="35"/>
      <c r="E1643" s="35"/>
      <c r="F1643" s="268"/>
    </row>
    <row r="1644" spans="1:6" x14ac:dyDescent="0.25">
      <c r="A1644" s="35"/>
      <c r="C1644" s="35"/>
      <c r="D1644" s="35"/>
      <c r="E1644" s="35"/>
      <c r="F1644" s="268"/>
    </row>
    <row r="1645" spans="1:6" x14ac:dyDescent="0.25">
      <c r="A1645" s="35"/>
      <c r="C1645" s="35"/>
      <c r="D1645" s="35"/>
      <c r="E1645" s="35"/>
      <c r="F1645" s="268"/>
    </row>
    <row r="1646" spans="1:6" x14ac:dyDescent="0.25">
      <c r="A1646" s="35"/>
      <c r="C1646" s="35"/>
      <c r="D1646" s="35"/>
      <c r="E1646" s="35"/>
      <c r="F1646" s="268"/>
    </row>
    <row r="1647" spans="1:6" x14ac:dyDescent="0.25">
      <c r="A1647" s="35"/>
      <c r="C1647" s="35"/>
      <c r="D1647" s="35"/>
      <c r="E1647" s="35"/>
      <c r="F1647" s="268"/>
    </row>
    <row r="1648" spans="1:6" x14ac:dyDescent="0.25">
      <c r="A1648" s="35"/>
      <c r="C1648" s="35"/>
      <c r="D1648" s="35"/>
      <c r="E1648" s="35"/>
      <c r="F1648" s="268"/>
    </row>
    <row r="1649" spans="1:6" x14ac:dyDescent="0.25">
      <c r="A1649" s="35"/>
      <c r="C1649" s="35"/>
      <c r="D1649" s="35"/>
      <c r="E1649" s="35"/>
      <c r="F1649" s="268"/>
    </row>
    <row r="1650" spans="1:6" x14ac:dyDescent="0.25">
      <c r="A1650" s="35"/>
      <c r="C1650" s="35"/>
      <c r="D1650" s="35"/>
      <c r="E1650" s="35"/>
      <c r="F1650" s="268"/>
    </row>
    <row r="1651" spans="1:6" x14ac:dyDescent="0.25">
      <c r="A1651" s="35"/>
      <c r="C1651" s="35"/>
      <c r="D1651" s="35"/>
      <c r="E1651" s="35"/>
      <c r="F1651" s="268"/>
    </row>
    <row r="1652" spans="1:6" x14ac:dyDescent="0.25">
      <c r="A1652" s="35"/>
      <c r="C1652" s="35"/>
      <c r="D1652" s="35"/>
      <c r="E1652" s="35"/>
      <c r="F1652" s="268"/>
    </row>
    <row r="1653" spans="1:6" x14ac:dyDescent="0.25">
      <c r="A1653" s="35"/>
      <c r="C1653" s="35"/>
      <c r="D1653" s="35"/>
      <c r="E1653" s="35"/>
      <c r="F1653" s="268"/>
    </row>
    <row r="1654" spans="1:6" x14ac:dyDescent="0.25">
      <c r="A1654" s="35"/>
      <c r="C1654" s="35"/>
      <c r="D1654" s="35"/>
      <c r="E1654" s="35"/>
      <c r="F1654" s="268"/>
    </row>
    <row r="1655" spans="1:6" x14ac:dyDescent="0.25">
      <c r="A1655" s="35"/>
      <c r="C1655" s="35"/>
      <c r="D1655" s="35"/>
      <c r="E1655" s="35"/>
      <c r="F1655" s="268"/>
    </row>
    <row r="1656" spans="1:6" x14ac:dyDescent="0.25">
      <c r="A1656" s="35"/>
      <c r="C1656" s="35"/>
      <c r="D1656" s="35"/>
      <c r="E1656" s="35"/>
      <c r="F1656" s="268"/>
    </row>
    <row r="1657" spans="1:6" x14ac:dyDescent="0.25">
      <c r="A1657" s="35"/>
      <c r="C1657" s="35"/>
      <c r="D1657" s="35"/>
      <c r="E1657" s="35"/>
      <c r="F1657" s="268"/>
    </row>
    <row r="1658" spans="1:6" x14ac:dyDescent="0.25">
      <c r="A1658" s="35"/>
      <c r="C1658" s="35"/>
      <c r="D1658" s="35"/>
      <c r="E1658" s="35"/>
      <c r="F1658" s="268"/>
    </row>
    <row r="1659" spans="1:6" x14ac:dyDescent="0.25">
      <c r="A1659" s="35"/>
      <c r="C1659" s="35"/>
      <c r="D1659" s="35"/>
      <c r="E1659" s="35"/>
      <c r="F1659" s="268"/>
    </row>
    <row r="1660" spans="1:6" x14ac:dyDescent="0.25">
      <c r="A1660" s="35"/>
      <c r="C1660" s="35"/>
      <c r="D1660" s="35"/>
      <c r="E1660" s="35"/>
      <c r="F1660" s="268"/>
    </row>
    <row r="1661" spans="1:6" x14ac:dyDescent="0.25">
      <c r="A1661" s="35"/>
      <c r="C1661" s="35"/>
      <c r="D1661" s="35"/>
      <c r="E1661" s="35"/>
      <c r="F1661" s="268"/>
    </row>
    <row r="1662" spans="1:6" x14ac:dyDescent="0.25">
      <c r="A1662" s="35"/>
      <c r="C1662" s="35"/>
      <c r="D1662" s="35"/>
      <c r="E1662" s="35"/>
      <c r="F1662" s="268"/>
    </row>
    <row r="1663" spans="1:6" x14ac:dyDescent="0.25">
      <c r="A1663" s="35"/>
      <c r="C1663" s="35"/>
      <c r="D1663" s="35"/>
      <c r="E1663" s="35"/>
      <c r="F1663" s="268"/>
    </row>
    <row r="1664" spans="1:6" x14ac:dyDescent="0.25">
      <c r="A1664" s="35"/>
      <c r="C1664" s="35"/>
      <c r="D1664" s="35"/>
      <c r="E1664" s="35"/>
      <c r="F1664" s="268"/>
    </row>
    <row r="1665" spans="1:6" x14ac:dyDescent="0.25">
      <c r="A1665" s="35"/>
      <c r="C1665" s="35"/>
      <c r="D1665" s="35"/>
      <c r="E1665" s="35"/>
      <c r="F1665" s="268"/>
    </row>
    <row r="1666" spans="1:6" x14ac:dyDescent="0.25">
      <c r="A1666" s="35"/>
      <c r="C1666" s="35"/>
      <c r="D1666" s="35"/>
      <c r="E1666" s="35"/>
      <c r="F1666" s="268"/>
    </row>
    <row r="1667" spans="1:6" x14ac:dyDescent="0.25">
      <c r="A1667" s="35"/>
      <c r="C1667" s="35"/>
      <c r="D1667" s="35"/>
      <c r="E1667" s="35"/>
      <c r="F1667" s="268"/>
    </row>
    <row r="1668" spans="1:6" x14ac:dyDescent="0.25">
      <c r="A1668" s="35"/>
      <c r="C1668" s="35"/>
      <c r="D1668" s="35"/>
      <c r="E1668" s="35"/>
      <c r="F1668" s="268"/>
    </row>
    <row r="1669" spans="1:6" x14ac:dyDescent="0.25">
      <c r="A1669" s="35"/>
      <c r="C1669" s="35"/>
      <c r="D1669" s="35"/>
      <c r="E1669" s="35"/>
      <c r="F1669" s="268"/>
    </row>
    <row r="1670" spans="1:6" x14ac:dyDescent="0.25">
      <c r="A1670" s="35"/>
      <c r="C1670" s="35"/>
      <c r="D1670" s="35"/>
      <c r="E1670" s="35"/>
      <c r="F1670" s="268"/>
    </row>
    <row r="1671" spans="1:6" x14ac:dyDescent="0.25">
      <c r="A1671" s="35"/>
      <c r="C1671" s="35"/>
      <c r="D1671" s="35"/>
      <c r="E1671" s="35"/>
      <c r="F1671" s="268"/>
    </row>
    <row r="1672" spans="1:6" x14ac:dyDescent="0.25">
      <c r="A1672" s="35"/>
      <c r="C1672" s="35"/>
      <c r="D1672" s="35"/>
      <c r="E1672" s="35"/>
      <c r="F1672" s="268"/>
    </row>
    <row r="1673" spans="1:6" x14ac:dyDescent="0.25">
      <c r="A1673" s="35"/>
      <c r="C1673" s="35"/>
      <c r="D1673" s="35"/>
      <c r="E1673" s="35"/>
      <c r="F1673" s="268"/>
    </row>
    <row r="1674" spans="1:6" x14ac:dyDescent="0.25">
      <c r="A1674" s="35"/>
      <c r="C1674" s="35"/>
      <c r="D1674" s="35"/>
      <c r="E1674" s="35"/>
      <c r="F1674" s="268"/>
    </row>
    <row r="1675" spans="1:6" x14ac:dyDescent="0.25">
      <c r="A1675" s="35"/>
      <c r="C1675" s="35"/>
      <c r="D1675" s="35"/>
      <c r="E1675" s="35"/>
      <c r="F1675" s="268"/>
    </row>
    <row r="1676" spans="1:6" x14ac:dyDescent="0.25">
      <c r="A1676" s="35"/>
      <c r="C1676" s="35"/>
      <c r="D1676" s="35"/>
      <c r="E1676" s="35"/>
      <c r="F1676" s="268"/>
    </row>
    <row r="1677" spans="1:6" x14ac:dyDescent="0.25">
      <c r="A1677" s="35"/>
      <c r="C1677" s="35"/>
      <c r="D1677" s="35"/>
      <c r="E1677" s="35"/>
      <c r="F1677" s="268"/>
    </row>
    <row r="1678" spans="1:6" x14ac:dyDescent="0.25">
      <c r="A1678" s="35"/>
      <c r="C1678" s="35"/>
      <c r="D1678" s="35"/>
      <c r="E1678" s="35"/>
      <c r="F1678" s="268"/>
    </row>
    <row r="1679" spans="1:6" x14ac:dyDescent="0.25">
      <c r="A1679" s="35"/>
      <c r="C1679" s="35"/>
      <c r="D1679" s="35"/>
      <c r="E1679" s="35"/>
      <c r="F1679" s="268"/>
    </row>
    <row r="1680" spans="1:6" x14ac:dyDescent="0.25">
      <c r="A1680" s="35"/>
      <c r="C1680" s="35"/>
      <c r="D1680" s="35"/>
      <c r="E1680" s="35"/>
      <c r="F1680" s="268"/>
    </row>
    <row r="1681" spans="1:6" x14ac:dyDescent="0.25">
      <c r="A1681" s="35"/>
      <c r="C1681" s="35"/>
      <c r="D1681" s="35"/>
      <c r="E1681" s="35"/>
      <c r="F1681" s="268"/>
    </row>
    <row r="1682" spans="1:6" x14ac:dyDescent="0.25">
      <c r="A1682" s="35"/>
      <c r="C1682" s="35"/>
      <c r="D1682" s="35"/>
      <c r="E1682" s="35"/>
      <c r="F1682" s="268"/>
    </row>
    <row r="1683" spans="1:6" x14ac:dyDescent="0.25">
      <c r="A1683" s="35"/>
      <c r="C1683" s="35"/>
      <c r="D1683" s="35"/>
      <c r="E1683" s="35"/>
      <c r="F1683" s="268"/>
    </row>
    <row r="1684" spans="1:6" x14ac:dyDescent="0.25">
      <c r="A1684" s="35"/>
      <c r="C1684" s="35"/>
      <c r="D1684" s="35"/>
      <c r="E1684" s="35"/>
      <c r="F1684" s="268"/>
    </row>
    <row r="1685" spans="1:6" x14ac:dyDescent="0.25">
      <c r="A1685" s="35"/>
      <c r="C1685" s="35"/>
      <c r="D1685" s="35"/>
      <c r="E1685" s="35"/>
      <c r="F1685" s="268"/>
    </row>
    <row r="1686" spans="1:6" x14ac:dyDescent="0.25">
      <c r="A1686" s="35"/>
      <c r="C1686" s="35"/>
      <c r="D1686" s="35"/>
      <c r="E1686" s="35"/>
      <c r="F1686" s="268"/>
    </row>
    <row r="1687" spans="1:6" x14ac:dyDescent="0.25">
      <c r="A1687" s="35"/>
      <c r="C1687" s="35"/>
      <c r="D1687" s="35"/>
      <c r="E1687" s="35"/>
      <c r="F1687" s="268"/>
    </row>
    <row r="1688" spans="1:6" x14ac:dyDescent="0.25">
      <c r="A1688" s="35"/>
      <c r="C1688" s="35"/>
      <c r="D1688" s="35"/>
      <c r="E1688" s="35"/>
      <c r="F1688" s="268"/>
    </row>
    <row r="1689" spans="1:6" x14ac:dyDescent="0.25">
      <c r="A1689" s="35"/>
      <c r="C1689" s="35"/>
      <c r="D1689" s="35"/>
      <c r="E1689" s="35"/>
      <c r="F1689" s="268"/>
    </row>
    <row r="1690" spans="1:6" x14ac:dyDescent="0.25">
      <c r="A1690" s="35"/>
      <c r="C1690" s="35"/>
      <c r="D1690" s="35"/>
      <c r="E1690" s="35"/>
      <c r="F1690" s="268"/>
    </row>
    <row r="1691" spans="1:6" x14ac:dyDescent="0.25">
      <c r="A1691" s="35"/>
      <c r="C1691" s="35"/>
      <c r="D1691" s="35"/>
      <c r="E1691" s="35"/>
      <c r="F1691" s="268"/>
    </row>
    <row r="1692" spans="1:6" x14ac:dyDescent="0.25">
      <c r="A1692" s="35"/>
      <c r="C1692" s="35"/>
      <c r="D1692" s="35"/>
      <c r="E1692" s="35"/>
      <c r="F1692" s="268"/>
    </row>
    <row r="1693" spans="1:6" x14ac:dyDescent="0.25">
      <c r="A1693" s="35"/>
      <c r="C1693" s="35"/>
      <c r="D1693" s="35"/>
      <c r="E1693" s="35"/>
      <c r="F1693" s="268"/>
    </row>
    <row r="1694" spans="1:6" x14ac:dyDescent="0.25">
      <c r="A1694" s="35"/>
      <c r="C1694" s="35"/>
      <c r="D1694" s="35"/>
      <c r="E1694" s="35"/>
      <c r="F1694" s="268"/>
    </row>
    <row r="1695" spans="1:6" x14ac:dyDescent="0.25">
      <c r="A1695" s="35"/>
      <c r="C1695" s="35"/>
      <c r="D1695" s="35"/>
      <c r="E1695" s="35"/>
      <c r="F1695" s="268"/>
    </row>
    <row r="1696" spans="1:6" x14ac:dyDescent="0.25">
      <c r="A1696" s="35"/>
      <c r="C1696" s="35"/>
      <c r="D1696" s="35"/>
      <c r="E1696" s="35"/>
      <c r="F1696" s="268"/>
    </row>
    <row r="1697" spans="1:6" x14ac:dyDescent="0.25">
      <c r="A1697" s="35"/>
      <c r="C1697" s="35"/>
      <c r="D1697" s="35"/>
      <c r="E1697" s="35"/>
      <c r="F1697" s="268"/>
    </row>
    <row r="1698" spans="1:6" x14ac:dyDescent="0.25">
      <c r="A1698" s="35"/>
      <c r="C1698" s="35"/>
      <c r="D1698" s="35"/>
      <c r="E1698" s="35"/>
      <c r="F1698" s="268"/>
    </row>
    <row r="1699" spans="1:6" x14ac:dyDescent="0.25">
      <c r="A1699" s="35"/>
      <c r="C1699" s="35"/>
      <c r="D1699" s="35"/>
      <c r="E1699" s="35"/>
      <c r="F1699" s="268"/>
    </row>
    <row r="1700" spans="1:6" x14ac:dyDescent="0.25">
      <c r="A1700" s="35"/>
      <c r="C1700" s="35"/>
      <c r="D1700" s="35"/>
      <c r="E1700" s="35"/>
      <c r="F1700" s="268"/>
    </row>
    <row r="1701" spans="1:6" x14ac:dyDescent="0.25">
      <c r="A1701" s="35"/>
      <c r="C1701" s="35"/>
      <c r="D1701" s="35"/>
      <c r="E1701" s="35"/>
      <c r="F1701" s="268"/>
    </row>
    <row r="1702" spans="1:6" x14ac:dyDescent="0.25">
      <c r="A1702" s="35"/>
      <c r="C1702" s="35"/>
      <c r="D1702" s="35"/>
      <c r="E1702" s="35"/>
      <c r="F1702" s="268"/>
    </row>
    <row r="1703" spans="1:6" x14ac:dyDescent="0.25">
      <c r="A1703" s="35"/>
      <c r="C1703" s="35"/>
      <c r="D1703" s="35"/>
      <c r="E1703" s="35"/>
      <c r="F1703" s="268"/>
    </row>
    <row r="1704" spans="1:6" x14ac:dyDescent="0.25">
      <c r="A1704" s="35"/>
      <c r="C1704" s="35"/>
      <c r="D1704" s="35"/>
      <c r="E1704" s="35"/>
      <c r="F1704" s="268"/>
    </row>
    <row r="1705" spans="1:6" x14ac:dyDescent="0.25">
      <c r="A1705" s="35"/>
      <c r="C1705" s="35"/>
      <c r="D1705" s="35"/>
      <c r="E1705" s="35"/>
      <c r="F1705" s="268"/>
    </row>
    <row r="1706" spans="1:6" x14ac:dyDescent="0.25">
      <c r="A1706" s="35"/>
      <c r="C1706" s="35"/>
      <c r="D1706" s="35"/>
      <c r="E1706" s="35"/>
      <c r="F1706" s="268"/>
    </row>
    <row r="1707" spans="1:6" x14ac:dyDescent="0.25">
      <c r="A1707" s="35"/>
      <c r="C1707" s="35"/>
      <c r="D1707" s="35"/>
      <c r="E1707" s="35"/>
      <c r="F1707" s="268"/>
    </row>
    <row r="1708" spans="1:6" x14ac:dyDescent="0.25">
      <c r="A1708" s="35"/>
      <c r="C1708" s="35"/>
      <c r="D1708" s="35"/>
      <c r="E1708" s="35"/>
      <c r="F1708" s="268"/>
    </row>
    <row r="1709" spans="1:6" x14ac:dyDescent="0.25">
      <c r="A1709" s="35"/>
      <c r="C1709" s="35"/>
      <c r="D1709" s="35"/>
      <c r="E1709" s="35"/>
      <c r="F1709" s="268"/>
    </row>
    <row r="1710" spans="1:6" x14ac:dyDescent="0.25">
      <c r="A1710" s="35"/>
      <c r="C1710" s="35"/>
      <c r="D1710" s="35"/>
      <c r="E1710" s="35"/>
      <c r="F1710" s="268"/>
    </row>
    <row r="1711" spans="1:6" x14ac:dyDescent="0.25">
      <c r="A1711" s="35"/>
      <c r="C1711" s="35"/>
      <c r="D1711" s="35"/>
      <c r="E1711" s="35"/>
      <c r="F1711" s="268"/>
    </row>
    <row r="1712" spans="1:6" x14ac:dyDescent="0.25">
      <c r="A1712" s="35"/>
      <c r="C1712" s="35"/>
      <c r="D1712" s="35"/>
      <c r="E1712" s="35"/>
      <c r="F1712" s="268"/>
    </row>
    <row r="1713" spans="1:6" x14ac:dyDescent="0.25">
      <c r="A1713" s="35"/>
      <c r="C1713" s="35"/>
      <c r="D1713" s="35"/>
      <c r="E1713" s="35"/>
      <c r="F1713" s="268"/>
    </row>
    <row r="1714" spans="1:6" x14ac:dyDescent="0.25">
      <c r="A1714" s="35"/>
      <c r="C1714" s="35"/>
      <c r="D1714" s="35"/>
      <c r="E1714" s="35"/>
      <c r="F1714" s="268"/>
    </row>
    <row r="1715" spans="1:6" x14ac:dyDescent="0.25">
      <c r="A1715" s="35"/>
      <c r="C1715" s="35"/>
      <c r="D1715" s="35"/>
      <c r="E1715" s="35"/>
      <c r="F1715" s="268"/>
    </row>
    <row r="1716" spans="1:6" x14ac:dyDescent="0.25">
      <c r="A1716" s="35"/>
      <c r="C1716" s="35"/>
      <c r="D1716" s="35"/>
      <c r="E1716" s="35"/>
      <c r="F1716" s="268"/>
    </row>
    <row r="1717" spans="1:6" x14ac:dyDescent="0.25">
      <c r="A1717" s="35"/>
      <c r="C1717" s="35"/>
      <c r="D1717" s="35"/>
      <c r="E1717" s="35"/>
      <c r="F1717" s="268"/>
    </row>
    <row r="1718" spans="1:6" x14ac:dyDescent="0.25">
      <c r="A1718" s="35"/>
      <c r="C1718" s="35"/>
      <c r="D1718" s="35"/>
      <c r="E1718" s="35"/>
      <c r="F1718" s="268"/>
    </row>
    <row r="1719" spans="1:6" x14ac:dyDescent="0.25">
      <c r="A1719" s="35"/>
      <c r="C1719" s="35"/>
      <c r="D1719" s="35"/>
      <c r="E1719" s="35"/>
      <c r="F1719" s="268"/>
    </row>
    <row r="1720" spans="1:6" x14ac:dyDescent="0.25">
      <c r="A1720" s="35"/>
      <c r="C1720" s="35"/>
      <c r="D1720" s="35"/>
      <c r="E1720" s="35"/>
      <c r="F1720" s="268"/>
    </row>
    <row r="1721" spans="1:6" x14ac:dyDescent="0.25">
      <c r="A1721" s="35"/>
      <c r="C1721" s="35"/>
      <c r="D1721" s="35"/>
      <c r="E1721" s="35"/>
      <c r="F1721" s="268"/>
    </row>
    <row r="1722" spans="1:6" x14ac:dyDescent="0.25">
      <c r="A1722" s="35"/>
      <c r="C1722" s="35"/>
      <c r="D1722" s="35"/>
      <c r="E1722" s="35"/>
      <c r="F1722" s="268"/>
    </row>
    <row r="1723" spans="1:6" x14ac:dyDescent="0.25">
      <c r="A1723" s="35"/>
      <c r="C1723" s="35"/>
      <c r="D1723" s="35"/>
      <c r="E1723" s="35"/>
      <c r="F1723" s="268"/>
    </row>
    <row r="1724" spans="1:6" x14ac:dyDescent="0.25">
      <c r="A1724" s="35"/>
      <c r="C1724" s="35"/>
      <c r="D1724" s="35"/>
      <c r="E1724" s="35"/>
      <c r="F1724" s="268"/>
    </row>
    <row r="1725" spans="1:6" x14ac:dyDescent="0.25">
      <c r="A1725" s="35"/>
      <c r="C1725" s="35"/>
      <c r="D1725" s="35"/>
      <c r="E1725" s="35"/>
      <c r="F1725" s="268"/>
    </row>
    <row r="1726" spans="1:6" x14ac:dyDescent="0.25">
      <c r="A1726" s="35"/>
      <c r="C1726" s="35"/>
      <c r="D1726" s="35"/>
      <c r="E1726" s="35"/>
      <c r="F1726" s="268"/>
    </row>
    <row r="1727" spans="1:6" x14ac:dyDescent="0.25">
      <c r="A1727" s="35"/>
      <c r="C1727" s="35"/>
      <c r="D1727" s="35"/>
      <c r="E1727" s="35"/>
      <c r="F1727" s="268"/>
    </row>
    <row r="1728" spans="1:6" x14ac:dyDescent="0.25">
      <c r="A1728" s="35"/>
      <c r="C1728" s="35"/>
      <c r="D1728" s="35"/>
      <c r="E1728" s="35"/>
      <c r="F1728" s="268"/>
    </row>
    <row r="1729" spans="1:6" x14ac:dyDescent="0.25">
      <c r="A1729" s="35"/>
      <c r="C1729" s="35"/>
      <c r="D1729" s="35"/>
      <c r="E1729" s="35"/>
      <c r="F1729" s="268"/>
    </row>
    <row r="1730" spans="1:6" x14ac:dyDescent="0.25">
      <c r="A1730" s="35"/>
      <c r="C1730" s="35"/>
      <c r="D1730" s="35"/>
      <c r="E1730" s="35"/>
      <c r="F1730" s="268"/>
    </row>
    <row r="1731" spans="1:6" x14ac:dyDescent="0.25">
      <c r="A1731" s="35"/>
      <c r="C1731" s="35"/>
      <c r="D1731" s="35"/>
      <c r="E1731" s="35"/>
      <c r="F1731" s="268"/>
    </row>
    <row r="1732" spans="1:6" x14ac:dyDescent="0.25">
      <c r="A1732" s="35"/>
      <c r="C1732" s="35"/>
      <c r="D1732" s="35"/>
      <c r="E1732" s="35"/>
      <c r="F1732" s="268"/>
    </row>
    <row r="1733" spans="1:6" x14ac:dyDescent="0.25">
      <c r="A1733" s="35"/>
      <c r="C1733" s="35"/>
      <c r="D1733" s="35"/>
      <c r="E1733" s="35"/>
      <c r="F1733" s="268"/>
    </row>
    <row r="1734" spans="1:6" x14ac:dyDescent="0.25">
      <c r="A1734" s="35"/>
      <c r="C1734" s="35"/>
      <c r="D1734" s="35"/>
      <c r="E1734" s="35"/>
      <c r="F1734" s="268"/>
    </row>
    <row r="1735" spans="1:6" x14ac:dyDescent="0.25">
      <c r="A1735" s="35"/>
      <c r="C1735" s="35"/>
      <c r="D1735" s="35"/>
      <c r="E1735" s="35"/>
      <c r="F1735" s="268"/>
    </row>
    <row r="1736" spans="1:6" x14ac:dyDescent="0.25">
      <c r="A1736" s="35"/>
      <c r="C1736" s="35"/>
      <c r="D1736" s="35"/>
      <c r="E1736" s="35"/>
      <c r="F1736" s="268"/>
    </row>
    <row r="1737" spans="1:6" x14ac:dyDescent="0.25">
      <c r="A1737" s="35"/>
      <c r="C1737" s="35"/>
      <c r="D1737" s="35"/>
      <c r="E1737" s="35"/>
      <c r="F1737" s="268"/>
    </row>
    <row r="1738" spans="1:6" x14ac:dyDescent="0.25">
      <c r="A1738" s="35"/>
      <c r="C1738" s="35"/>
      <c r="D1738" s="35"/>
      <c r="E1738" s="35"/>
      <c r="F1738" s="268"/>
    </row>
    <row r="1739" spans="1:6" x14ac:dyDescent="0.25">
      <c r="A1739" s="35"/>
      <c r="C1739" s="35"/>
      <c r="D1739" s="35"/>
      <c r="E1739" s="35"/>
      <c r="F1739" s="268"/>
    </row>
    <row r="1740" spans="1:6" x14ac:dyDescent="0.25">
      <c r="A1740" s="35"/>
      <c r="C1740" s="35"/>
      <c r="D1740" s="35"/>
      <c r="E1740" s="35"/>
      <c r="F1740" s="268"/>
    </row>
    <row r="1741" spans="1:6" x14ac:dyDescent="0.25">
      <c r="A1741" s="35"/>
      <c r="C1741" s="35"/>
      <c r="D1741" s="35"/>
      <c r="E1741" s="35"/>
      <c r="F1741" s="268"/>
    </row>
    <row r="1742" spans="1:6" x14ac:dyDescent="0.25">
      <c r="A1742" s="35"/>
      <c r="C1742" s="35"/>
      <c r="D1742" s="35"/>
      <c r="E1742" s="35"/>
      <c r="F1742" s="268"/>
    </row>
    <row r="1743" spans="1:6" x14ac:dyDescent="0.25">
      <c r="A1743" s="35"/>
      <c r="C1743" s="35"/>
      <c r="D1743" s="35"/>
      <c r="E1743" s="35"/>
      <c r="F1743" s="268"/>
    </row>
    <row r="1744" spans="1:6" x14ac:dyDescent="0.25">
      <c r="A1744" s="35"/>
      <c r="C1744" s="35"/>
      <c r="D1744" s="35"/>
      <c r="E1744" s="35"/>
      <c r="F1744" s="268"/>
    </row>
    <row r="1745" spans="1:6" x14ac:dyDescent="0.25">
      <c r="A1745" s="35"/>
      <c r="C1745" s="35"/>
      <c r="D1745" s="35"/>
      <c r="E1745" s="35"/>
      <c r="F1745" s="268"/>
    </row>
    <row r="1746" spans="1:6" x14ac:dyDescent="0.25">
      <c r="A1746" s="35"/>
      <c r="C1746" s="35"/>
      <c r="D1746" s="35"/>
      <c r="E1746" s="35"/>
      <c r="F1746" s="268"/>
    </row>
    <row r="1747" spans="1:6" x14ac:dyDescent="0.25">
      <c r="A1747" s="35"/>
      <c r="C1747" s="35"/>
      <c r="D1747" s="35"/>
      <c r="E1747" s="35"/>
      <c r="F1747" s="268"/>
    </row>
    <row r="1748" spans="1:6" x14ac:dyDescent="0.25">
      <c r="A1748" s="35"/>
      <c r="C1748" s="35"/>
      <c r="D1748" s="35"/>
      <c r="E1748" s="35"/>
      <c r="F1748" s="268"/>
    </row>
    <row r="1749" spans="1:6" x14ac:dyDescent="0.25">
      <c r="A1749" s="35"/>
      <c r="C1749" s="35"/>
      <c r="D1749" s="35"/>
      <c r="E1749" s="35"/>
      <c r="F1749" s="268"/>
    </row>
    <row r="1750" spans="1:6" x14ac:dyDescent="0.25">
      <c r="A1750" s="35"/>
      <c r="C1750" s="35"/>
      <c r="D1750" s="35"/>
      <c r="E1750" s="35"/>
      <c r="F1750" s="268"/>
    </row>
    <row r="1751" spans="1:6" x14ac:dyDescent="0.25">
      <c r="A1751" s="35"/>
      <c r="C1751" s="35"/>
      <c r="D1751" s="35"/>
      <c r="E1751" s="35"/>
      <c r="F1751" s="268"/>
    </row>
    <row r="1752" spans="1:6" x14ac:dyDescent="0.25">
      <c r="A1752" s="35"/>
      <c r="C1752" s="35"/>
      <c r="D1752" s="35"/>
      <c r="E1752" s="35"/>
      <c r="F1752" s="268"/>
    </row>
    <row r="1753" spans="1:6" x14ac:dyDescent="0.25">
      <c r="A1753" s="35"/>
      <c r="C1753" s="35"/>
      <c r="D1753" s="35"/>
      <c r="E1753" s="35"/>
      <c r="F1753" s="268"/>
    </row>
    <row r="1754" spans="1:6" x14ac:dyDescent="0.25">
      <c r="A1754" s="35"/>
      <c r="C1754" s="35"/>
      <c r="D1754" s="35"/>
      <c r="E1754" s="35"/>
      <c r="F1754" s="268"/>
    </row>
    <row r="1755" spans="1:6" x14ac:dyDescent="0.25">
      <c r="A1755" s="35"/>
      <c r="C1755" s="35"/>
      <c r="D1755" s="35"/>
      <c r="E1755" s="35"/>
      <c r="F1755" s="268"/>
    </row>
    <row r="1756" spans="1:6" x14ac:dyDescent="0.25">
      <c r="A1756" s="35"/>
      <c r="C1756" s="35"/>
      <c r="D1756" s="35"/>
      <c r="E1756" s="35"/>
      <c r="F1756" s="268"/>
    </row>
    <row r="1757" spans="1:6" x14ac:dyDescent="0.25">
      <c r="A1757" s="35"/>
      <c r="C1757" s="35"/>
      <c r="D1757" s="35"/>
      <c r="E1757" s="35"/>
      <c r="F1757" s="268"/>
    </row>
    <row r="1758" spans="1:6" x14ac:dyDescent="0.25">
      <c r="A1758" s="35"/>
      <c r="C1758" s="35"/>
      <c r="D1758" s="35"/>
      <c r="E1758" s="35"/>
      <c r="F1758" s="268"/>
    </row>
    <row r="1759" spans="1:6" x14ac:dyDescent="0.25">
      <c r="A1759" s="35"/>
      <c r="C1759" s="35"/>
      <c r="D1759" s="35"/>
      <c r="E1759" s="35"/>
      <c r="F1759" s="268"/>
    </row>
    <row r="1760" spans="1:6" x14ac:dyDescent="0.25">
      <c r="A1760" s="35"/>
      <c r="C1760" s="35"/>
      <c r="D1760" s="35"/>
      <c r="E1760" s="35"/>
      <c r="F1760" s="268"/>
    </row>
    <row r="1761" spans="1:6" x14ac:dyDescent="0.25">
      <c r="A1761" s="35"/>
      <c r="C1761" s="35"/>
      <c r="D1761" s="35"/>
      <c r="E1761" s="35"/>
      <c r="F1761" s="268"/>
    </row>
    <row r="1762" spans="1:6" x14ac:dyDescent="0.25">
      <c r="A1762" s="35"/>
      <c r="C1762" s="35"/>
      <c r="D1762" s="35"/>
      <c r="E1762" s="35"/>
      <c r="F1762" s="268"/>
    </row>
    <row r="1763" spans="1:6" x14ac:dyDescent="0.25">
      <c r="A1763" s="35"/>
      <c r="C1763" s="35"/>
      <c r="D1763" s="35"/>
      <c r="E1763" s="35"/>
      <c r="F1763" s="268"/>
    </row>
    <row r="1764" spans="1:6" x14ac:dyDescent="0.25">
      <c r="A1764" s="35"/>
      <c r="C1764" s="35"/>
      <c r="D1764" s="35"/>
      <c r="E1764" s="35"/>
      <c r="F1764" s="268"/>
    </row>
    <row r="1765" spans="1:6" x14ac:dyDescent="0.25">
      <c r="A1765" s="35"/>
      <c r="C1765" s="35"/>
      <c r="D1765" s="35"/>
      <c r="E1765" s="35"/>
      <c r="F1765" s="268"/>
    </row>
    <row r="1766" spans="1:6" x14ac:dyDescent="0.25">
      <c r="A1766" s="35"/>
      <c r="C1766" s="35"/>
      <c r="D1766" s="35"/>
      <c r="E1766" s="35"/>
      <c r="F1766" s="268"/>
    </row>
    <row r="1767" spans="1:6" x14ac:dyDescent="0.25">
      <c r="A1767" s="35"/>
      <c r="C1767" s="35"/>
      <c r="D1767" s="35"/>
      <c r="E1767" s="35"/>
      <c r="F1767" s="268"/>
    </row>
    <row r="1768" spans="1:6" x14ac:dyDescent="0.25">
      <c r="A1768" s="35"/>
      <c r="C1768" s="35"/>
      <c r="D1768" s="35"/>
      <c r="E1768" s="35"/>
      <c r="F1768" s="268"/>
    </row>
    <row r="1769" spans="1:6" x14ac:dyDescent="0.25">
      <c r="A1769" s="35"/>
      <c r="C1769" s="35"/>
      <c r="D1769" s="35"/>
      <c r="E1769" s="35"/>
      <c r="F1769" s="268"/>
    </row>
    <row r="1770" spans="1:6" x14ac:dyDescent="0.25">
      <c r="A1770" s="35"/>
      <c r="C1770" s="35"/>
      <c r="D1770" s="35"/>
      <c r="E1770" s="35"/>
      <c r="F1770" s="268"/>
    </row>
    <row r="1771" spans="1:6" x14ac:dyDescent="0.25">
      <c r="A1771" s="35"/>
      <c r="C1771" s="35"/>
      <c r="D1771" s="35"/>
      <c r="E1771" s="35"/>
      <c r="F1771" s="268"/>
    </row>
    <row r="1772" spans="1:6" x14ac:dyDescent="0.25">
      <c r="A1772" s="35"/>
      <c r="C1772" s="35"/>
      <c r="D1772" s="35"/>
      <c r="E1772" s="35"/>
      <c r="F1772" s="268"/>
    </row>
    <row r="1773" spans="1:6" x14ac:dyDescent="0.25">
      <c r="A1773" s="35"/>
      <c r="C1773" s="35"/>
      <c r="D1773" s="35"/>
      <c r="E1773" s="35"/>
      <c r="F1773" s="268"/>
    </row>
    <row r="1774" spans="1:6" x14ac:dyDescent="0.25">
      <c r="A1774" s="35"/>
      <c r="C1774" s="35"/>
      <c r="D1774" s="35"/>
      <c r="E1774" s="35"/>
      <c r="F1774" s="268"/>
    </row>
    <row r="1775" spans="1:6" x14ac:dyDescent="0.25">
      <c r="A1775" s="35"/>
      <c r="C1775" s="35"/>
      <c r="D1775" s="35"/>
      <c r="E1775" s="35"/>
      <c r="F1775" s="268"/>
    </row>
    <row r="1776" spans="1:6" x14ac:dyDescent="0.25">
      <c r="A1776" s="35"/>
      <c r="C1776" s="35"/>
      <c r="D1776" s="35"/>
      <c r="E1776" s="35"/>
      <c r="F1776" s="268"/>
    </row>
    <row r="1777" spans="1:6" x14ac:dyDescent="0.25">
      <c r="A1777" s="35"/>
      <c r="C1777" s="35"/>
      <c r="D1777" s="35"/>
      <c r="E1777" s="35"/>
      <c r="F1777" s="268"/>
    </row>
    <row r="1778" spans="1:6" x14ac:dyDescent="0.25">
      <c r="A1778" s="35"/>
      <c r="C1778" s="35"/>
      <c r="D1778" s="35"/>
      <c r="E1778" s="35"/>
      <c r="F1778" s="268"/>
    </row>
    <row r="1779" spans="1:6" x14ac:dyDescent="0.25">
      <c r="A1779" s="35"/>
      <c r="C1779" s="35"/>
      <c r="D1779" s="35"/>
      <c r="E1779" s="35"/>
      <c r="F1779" s="268"/>
    </row>
    <row r="1780" spans="1:6" x14ac:dyDescent="0.25">
      <c r="A1780" s="35"/>
      <c r="C1780" s="35"/>
      <c r="D1780" s="35"/>
      <c r="E1780" s="35"/>
      <c r="F1780" s="268"/>
    </row>
    <row r="1781" spans="1:6" x14ac:dyDescent="0.25">
      <c r="A1781" s="35"/>
      <c r="C1781" s="35"/>
      <c r="D1781" s="35"/>
      <c r="E1781" s="35"/>
      <c r="F1781" s="268"/>
    </row>
    <row r="1782" spans="1:6" x14ac:dyDescent="0.25">
      <c r="A1782" s="35"/>
      <c r="C1782" s="35"/>
      <c r="D1782" s="35"/>
      <c r="E1782" s="35"/>
      <c r="F1782" s="268"/>
    </row>
    <row r="1783" spans="1:6" x14ac:dyDescent="0.25">
      <c r="A1783" s="35"/>
      <c r="C1783" s="35"/>
      <c r="D1783" s="35"/>
      <c r="E1783" s="35"/>
      <c r="F1783" s="268"/>
    </row>
    <row r="1784" spans="1:6" x14ac:dyDescent="0.25">
      <c r="A1784" s="35"/>
      <c r="C1784" s="35"/>
      <c r="D1784" s="35"/>
      <c r="E1784" s="35"/>
      <c r="F1784" s="268"/>
    </row>
    <row r="1785" spans="1:6" x14ac:dyDescent="0.25">
      <c r="A1785" s="35"/>
      <c r="C1785" s="35"/>
      <c r="D1785" s="35"/>
      <c r="E1785" s="35"/>
      <c r="F1785" s="268"/>
    </row>
    <row r="1786" spans="1:6" x14ac:dyDescent="0.25">
      <c r="A1786" s="35"/>
      <c r="C1786" s="35"/>
      <c r="D1786" s="35"/>
      <c r="E1786" s="35"/>
      <c r="F1786" s="268"/>
    </row>
    <row r="1787" spans="1:6" x14ac:dyDescent="0.25">
      <c r="A1787" s="35"/>
      <c r="C1787" s="35"/>
      <c r="D1787" s="35"/>
      <c r="E1787" s="35"/>
      <c r="F1787" s="268"/>
    </row>
    <row r="1788" spans="1:6" x14ac:dyDescent="0.25">
      <c r="A1788" s="35"/>
      <c r="C1788" s="35"/>
      <c r="D1788" s="35"/>
      <c r="E1788" s="35"/>
      <c r="F1788" s="268"/>
    </row>
    <row r="1789" spans="1:6" x14ac:dyDescent="0.25">
      <c r="A1789" s="35"/>
      <c r="C1789" s="35"/>
      <c r="D1789" s="35"/>
      <c r="E1789" s="35"/>
      <c r="F1789" s="268"/>
    </row>
    <row r="1790" spans="1:6" x14ac:dyDescent="0.25">
      <c r="A1790" s="35"/>
      <c r="C1790" s="35"/>
      <c r="D1790" s="35"/>
      <c r="E1790" s="35"/>
      <c r="F1790" s="268"/>
    </row>
    <row r="1791" spans="1:6" x14ac:dyDescent="0.25">
      <c r="A1791" s="35"/>
      <c r="C1791" s="35"/>
      <c r="D1791" s="35"/>
      <c r="E1791" s="35"/>
      <c r="F1791" s="268"/>
    </row>
    <row r="1792" spans="1:6" x14ac:dyDescent="0.25">
      <c r="A1792" s="35"/>
      <c r="C1792" s="35"/>
      <c r="D1792" s="35"/>
      <c r="E1792" s="35"/>
      <c r="F1792" s="268"/>
    </row>
    <row r="1793" spans="1:6" x14ac:dyDescent="0.25">
      <c r="A1793" s="35"/>
      <c r="C1793" s="35"/>
      <c r="D1793" s="35"/>
      <c r="E1793" s="35"/>
      <c r="F1793" s="268"/>
    </row>
    <row r="1794" spans="1:6" x14ac:dyDescent="0.25">
      <c r="A1794" s="35"/>
      <c r="C1794" s="35"/>
      <c r="D1794" s="35"/>
      <c r="E1794" s="35"/>
      <c r="F1794" s="268"/>
    </row>
    <row r="1795" spans="1:6" x14ac:dyDescent="0.25">
      <c r="A1795" s="35"/>
      <c r="C1795" s="35"/>
      <c r="D1795" s="35"/>
      <c r="E1795" s="35"/>
      <c r="F1795" s="268"/>
    </row>
    <row r="1796" spans="1:6" x14ac:dyDescent="0.25">
      <c r="A1796" s="35"/>
      <c r="C1796" s="35"/>
      <c r="D1796" s="35"/>
      <c r="E1796" s="35"/>
      <c r="F1796" s="268"/>
    </row>
    <row r="1797" spans="1:6" x14ac:dyDescent="0.25">
      <c r="A1797" s="35"/>
      <c r="C1797" s="35"/>
      <c r="D1797" s="35"/>
      <c r="E1797" s="35"/>
      <c r="F1797" s="268"/>
    </row>
    <row r="1798" spans="1:6" x14ac:dyDescent="0.25">
      <c r="A1798" s="35"/>
      <c r="C1798" s="35"/>
      <c r="D1798" s="35"/>
      <c r="E1798" s="35"/>
      <c r="F1798" s="268"/>
    </row>
    <row r="1799" spans="1:6" x14ac:dyDescent="0.25">
      <c r="A1799" s="35"/>
      <c r="C1799" s="35"/>
      <c r="D1799" s="35"/>
      <c r="E1799" s="35"/>
      <c r="F1799" s="268"/>
    </row>
    <row r="1800" spans="1:6" x14ac:dyDescent="0.25">
      <c r="A1800" s="35"/>
      <c r="C1800" s="35"/>
      <c r="D1800" s="35"/>
      <c r="E1800" s="35"/>
      <c r="F1800" s="268"/>
    </row>
    <row r="1801" spans="1:6" x14ac:dyDescent="0.25">
      <c r="A1801" s="35"/>
      <c r="C1801" s="35"/>
      <c r="D1801" s="35"/>
      <c r="E1801" s="35"/>
      <c r="F1801" s="268"/>
    </row>
    <row r="1802" spans="1:6" x14ac:dyDescent="0.25">
      <c r="A1802" s="35"/>
      <c r="C1802" s="35"/>
      <c r="D1802" s="35"/>
      <c r="E1802" s="35"/>
      <c r="F1802" s="268"/>
    </row>
    <row r="1803" spans="1:6" x14ac:dyDescent="0.25">
      <c r="A1803" s="35"/>
      <c r="C1803" s="35"/>
      <c r="D1803" s="35"/>
      <c r="E1803" s="35"/>
      <c r="F1803" s="268"/>
    </row>
    <row r="1804" spans="1:6" x14ac:dyDescent="0.25">
      <c r="A1804" s="35"/>
      <c r="C1804" s="35"/>
      <c r="D1804" s="35"/>
      <c r="E1804" s="35"/>
      <c r="F1804" s="268"/>
    </row>
    <row r="1805" spans="1:6" x14ac:dyDescent="0.25">
      <c r="A1805" s="35"/>
      <c r="C1805" s="35"/>
      <c r="D1805" s="35"/>
      <c r="E1805" s="35"/>
      <c r="F1805" s="268"/>
    </row>
    <row r="1806" spans="1:6" x14ac:dyDescent="0.25">
      <c r="A1806" s="35"/>
      <c r="C1806" s="35"/>
      <c r="D1806" s="35"/>
      <c r="E1806" s="35"/>
      <c r="F1806" s="268"/>
    </row>
    <row r="1807" spans="1:6" x14ac:dyDescent="0.25">
      <c r="A1807" s="35"/>
      <c r="C1807" s="35"/>
      <c r="D1807" s="35"/>
      <c r="E1807" s="35"/>
      <c r="F1807" s="268"/>
    </row>
    <row r="1808" spans="1:6" x14ac:dyDescent="0.25">
      <c r="A1808" s="35"/>
      <c r="C1808" s="35"/>
      <c r="D1808" s="35"/>
      <c r="E1808" s="35"/>
      <c r="F1808" s="268"/>
    </row>
    <row r="1809" spans="1:6" x14ac:dyDescent="0.25">
      <c r="A1809" s="35"/>
      <c r="C1809" s="35"/>
      <c r="D1809" s="35"/>
      <c r="E1809" s="35"/>
      <c r="F1809" s="268"/>
    </row>
    <row r="1810" spans="1:6" x14ac:dyDescent="0.25">
      <c r="A1810" s="35"/>
      <c r="C1810" s="35"/>
      <c r="D1810" s="35"/>
      <c r="E1810" s="35"/>
      <c r="F1810" s="268"/>
    </row>
    <row r="1811" spans="1:6" x14ac:dyDescent="0.25">
      <c r="A1811" s="35"/>
      <c r="C1811" s="35"/>
      <c r="D1811" s="35"/>
      <c r="E1811" s="35"/>
      <c r="F1811" s="268"/>
    </row>
    <row r="1812" spans="1:6" x14ac:dyDescent="0.25">
      <c r="A1812" s="35"/>
      <c r="C1812" s="35"/>
      <c r="D1812" s="35"/>
      <c r="E1812" s="35"/>
      <c r="F1812" s="268"/>
    </row>
    <row r="1813" spans="1:6" x14ac:dyDescent="0.25">
      <c r="A1813" s="35"/>
      <c r="C1813" s="35"/>
      <c r="D1813" s="35"/>
      <c r="E1813" s="35"/>
      <c r="F1813" s="268"/>
    </row>
    <row r="1814" spans="1:6" x14ac:dyDescent="0.25">
      <c r="A1814" s="35"/>
      <c r="C1814" s="35"/>
      <c r="D1814" s="35"/>
      <c r="E1814" s="35"/>
      <c r="F1814" s="268"/>
    </row>
    <row r="1815" spans="1:6" x14ac:dyDescent="0.25">
      <c r="A1815" s="35"/>
      <c r="C1815" s="35"/>
      <c r="D1815" s="35"/>
      <c r="E1815" s="35"/>
      <c r="F1815" s="268"/>
    </row>
    <row r="1816" spans="1:6" x14ac:dyDescent="0.25">
      <c r="A1816" s="35"/>
      <c r="C1816" s="35"/>
      <c r="D1816" s="35"/>
      <c r="E1816" s="35"/>
      <c r="F1816" s="268"/>
    </row>
    <row r="1817" spans="1:6" x14ac:dyDescent="0.25">
      <c r="A1817" s="35"/>
      <c r="C1817" s="35"/>
      <c r="D1817" s="35"/>
      <c r="E1817" s="35"/>
      <c r="F1817" s="268"/>
    </row>
    <row r="1818" spans="1:6" x14ac:dyDescent="0.25">
      <c r="A1818" s="35"/>
      <c r="C1818" s="35"/>
      <c r="D1818" s="35"/>
      <c r="E1818" s="35"/>
      <c r="F1818" s="268"/>
    </row>
    <row r="1819" spans="1:6" x14ac:dyDescent="0.25">
      <c r="A1819" s="35"/>
      <c r="C1819" s="35"/>
      <c r="D1819" s="35"/>
      <c r="E1819" s="35"/>
      <c r="F1819" s="268"/>
    </row>
    <row r="1820" spans="1:6" x14ac:dyDescent="0.25">
      <c r="A1820" s="35"/>
      <c r="C1820" s="35"/>
      <c r="D1820" s="35"/>
      <c r="E1820" s="35"/>
      <c r="F1820" s="268"/>
    </row>
    <row r="1821" spans="1:6" x14ac:dyDescent="0.25">
      <c r="A1821" s="35"/>
      <c r="C1821" s="35"/>
      <c r="D1821" s="35"/>
      <c r="E1821" s="35"/>
      <c r="F1821" s="268"/>
    </row>
    <row r="1822" spans="1:6" x14ac:dyDescent="0.25">
      <c r="A1822" s="35"/>
      <c r="C1822" s="35"/>
      <c r="D1822" s="35"/>
      <c r="E1822" s="35"/>
      <c r="F1822" s="268"/>
    </row>
    <row r="1823" spans="1:6" x14ac:dyDescent="0.25">
      <c r="A1823" s="35"/>
      <c r="C1823" s="35"/>
      <c r="D1823" s="35"/>
      <c r="E1823" s="35"/>
      <c r="F1823" s="268"/>
    </row>
    <row r="1824" spans="1:6" x14ac:dyDescent="0.25">
      <c r="A1824" s="35"/>
      <c r="C1824" s="35"/>
      <c r="D1824" s="35"/>
      <c r="E1824" s="35"/>
      <c r="F1824" s="268"/>
    </row>
    <row r="1825" spans="1:6" x14ac:dyDescent="0.25">
      <c r="A1825" s="35"/>
      <c r="C1825" s="35"/>
      <c r="D1825" s="35"/>
      <c r="E1825" s="35"/>
      <c r="F1825" s="268"/>
    </row>
    <row r="1826" spans="1:6" x14ac:dyDescent="0.25">
      <c r="A1826" s="35"/>
      <c r="C1826" s="35"/>
      <c r="D1826" s="35"/>
      <c r="E1826" s="35"/>
      <c r="F1826" s="268"/>
    </row>
    <row r="1827" spans="1:6" x14ac:dyDescent="0.25">
      <c r="A1827" s="35"/>
      <c r="C1827" s="35"/>
      <c r="D1827" s="35"/>
      <c r="E1827" s="35"/>
      <c r="F1827" s="268"/>
    </row>
    <row r="1828" spans="1:6" x14ac:dyDescent="0.25">
      <c r="A1828" s="35"/>
      <c r="C1828" s="35"/>
      <c r="D1828" s="35"/>
      <c r="E1828" s="35"/>
      <c r="F1828" s="268"/>
    </row>
    <row r="1829" spans="1:6" x14ac:dyDescent="0.25">
      <c r="A1829" s="35"/>
      <c r="C1829" s="35"/>
      <c r="D1829" s="35"/>
      <c r="E1829" s="35"/>
      <c r="F1829" s="268"/>
    </row>
    <row r="1830" spans="1:6" x14ac:dyDescent="0.25">
      <c r="A1830" s="35"/>
      <c r="C1830" s="35"/>
      <c r="D1830" s="35"/>
      <c r="E1830" s="35"/>
      <c r="F1830" s="268"/>
    </row>
    <row r="1831" spans="1:6" x14ac:dyDescent="0.25">
      <c r="A1831" s="35"/>
      <c r="C1831" s="35"/>
      <c r="D1831" s="35"/>
      <c r="E1831" s="35"/>
      <c r="F1831" s="268"/>
    </row>
    <row r="1832" spans="1:6" x14ac:dyDescent="0.25">
      <c r="A1832" s="35"/>
      <c r="C1832" s="35"/>
      <c r="D1832" s="35"/>
      <c r="E1832" s="35"/>
      <c r="F1832" s="268"/>
    </row>
    <row r="1833" spans="1:6" x14ac:dyDescent="0.25">
      <c r="A1833" s="35"/>
      <c r="C1833" s="35"/>
      <c r="D1833" s="35"/>
      <c r="E1833" s="35"/>
      <c r="F1833" s="268"/>
    </row>
    <row r="1834" spans="1:6" x14ac:dyDescent="0.25">
      <c r="A1834" s="35"/>
      <c r="C1834" s="35"/>
      <c r="D1834" s="35"/>
      <c r="E1834" s="35"/>
      <c r="F1834" s="268"/>
    </row>
    <row r="1835" spans="1:6" x14ac:dyDescent="0.25">
      <c r="A1835" s="35"/>
      <c r="C1835" s="35"/>
      <c r="D1835" s="35"/>
      <c r="E1835" s="35"/>
      <c r="F1835" s="268"/>
    </row>
    <row r="1836" spans="1:6" x14ac:dyDescent="0.25">
      <c r="A1836" s="35"/>
      <c r="C1836" s="35"/>
      <c r="D1836" s="35"/>
      <c r="E1836" s="35"/>
      <c r="F1836" s="268"/>
    </row>
    <row r="1837" spans="1:6" x14ac:dyDescent="0.25">
      <c r="A1837" s="35"/>
      <c r="C1837" s="35"/>
      <c r="D1837" s="35"/>
      <c r="E1837" s="35"/>
      <c r="F1837" s="268"/>
    </row>
    <row r="1838" spans="1:6" x14ac:dyDescent="0.25">
      <c r="A1838" s="35"/>
      <c r="C1838" s="35"/>
      <c r="D1838" s="35"/>
      <c r="E1838" s="35"/>
      <c r="F1838" s="268"/>
    </row>
    <row r="1839" spans="1:6" x14ac:dyDescent="0.25">
      <c r="A1839" s="35"/>
      <c r="C1839" s="35"/>
      <c r="D1839" s="35"/>
      <c r="E1839" s="35"/>
      <c r="F1839" s="268"/>
    </row>
    <row r="1840" spans="1:6" x14ac:dyDescent="0.25">
      <c r="A1840" s="35"/>
      <c r="C1840" s="35"/>
      <c r="D1840" s="35"/>
      <c r="E1840" s="35"/>
      <c r="F1840" s="268"/>
    </row>
    <row r="1841" spans="1:6" x14ac:dyDescent="0.25">
      <c r="A1841" s="35"/>
      <c r="C1841" s="35"/>
      <c r="D1841" s="35"/>
      <c r="E1841" s="35"/>
      <c r="F1841" s="268"/>
    </row>
    <row r="1842" spans="1:6" x14ac:dyDescent="0.25">
      <c r="A1842" s="35"/>
      <c r="C1842" s="35"/>
      <c r="D1842" s="35"/>
      <c r="E1842" s="35"/>
      <c r="F1842" s="268"/>
    </row>
    <row r="1843" spans="1:6" x14ac:dyDescent="0.25">
      <c r="A1843" s="35"/>
      <c r="C1843" s="35"/>
      <c r="D1843" s="35"/>
      <c r="E1843" s="35"/>
      <c r="F1843" s="268"/>
    </row>
    <row r="1844" spans="1:6" x14ac:dyDescent="0.25">
      <c r="A1844" s="35"/>
      <c r="C1844" s="35"/>
      <c r="D1844" s="35"/>
      <c r="E1844" s="35"/>
      <c r="F1844" s="268"/>
    </row>
    <row r="1845" spans="1:6" x14ac:dyDescent="0.25">
      <c r="A1845" s="35"/>
      <c r="C1845" s="35"/>
      <c r="D1845" s="35"/>
      <c r="E1845" s="35"/>
      <c r="F1845" s="268"/>
    </row>
    <row r="1846" spans="1:6" x14ac:dyDescent="0.25">
      <c r="A1846" s="35"/>
      <c r="C1846" s="35"/>
      <c r="D1846" s="35"/>
      <c r="E1846" s="35"/>
      <c r="F1846" s="268"/>
    </row>
    <row r="1847" spans="1:6" x14ac:dyDescent="0.25">
      <c r="A1847" s="35"/>
      <c r="C1847" s="35"/>
      <c r="D1847" s="35"/>
      <c r="E1847" s="35"/>
      <c r="F1847" s="268"/>
    </row>
    <row r="1848" spans="1:6" x14ac:dyDescent="0.25">
      <c r="A1848" s="35"/>
      <c r="C1848" s="35"/>
      <c r="D1848" s="35"/>
      <c r="E1848" s="35"/>
      <c r="F1848" s="268"/>
    </row>
    <row r="1849" spans="1:6" x14ac:dyDescent="0.25">
      <c r="A1849" s="35"/>
      <c r="C1849" s="35"/>
      <c r="D1849" s="35"/>
      <c r="E1849" s="35"/>
      <c r="F1849" s="268"/>
    </row>
    <row r="1850" spans="1:6" x14ac:dyDescent="0.25">
      <c r="A1850" s="35"/>
      <c r="C1850" s="35"/>
      <c r="D1850" s="35"/>
      <c r="E1850" s="35"/>
      <c r="F1850" s="268"/>
    </row>
    <row r="1851" spans="1:6" x14ac:dyDescent="0.25">
      <c r="A1851" s="35"/>
      <c r="C1851" s="35"/>
      <c r="D1851" s="35"/>
      <c r="E1851" s="35"/>
      <c r="F1851" s="268"/>
    </row>
    <row r="1852" spans="1:6" x14ac:dyDescent="0.25">
      <c r="A1852" s="35"/>
      <c r="C1852" s="35"/>
      <c r="D1852" s="35"/>
      <c r="E1852" s="35"/>
      <c r="F1852" s="268"/>
    </row>
    <row r="1853" spans="1:6" x14ac:dyDescent="0.25">
      <c r="A1853" s="35"/>
      <c r="C1853" s="35"/>
      <c r="D1853" s="35"/>
      <c r="E1853" s="35"/>
      <c r="F1853" s="268"/>
    </row>
    <row r="1854" spans="1:6" x14ac:dyDescent="0.25">
      <c r="A1854" s="35"/>
      <c r="C1854" s="35"/>
      <c r="D1854" s="35"/>
      <c r="E1854" s="35"/>
      <c r="F1854" s="268"/>
    </row>
    <row r="1855" spans="1:6" x14ac:dyDescent="0.25">
      <c r="A1855" s="35"/>
      <c r="C1855" s="35"/>
      <c r="D1855" s="35"/>
      <c r="E1855" s="35"/>
      <c r="F1855" s="268"/>
    </row>
    <row r="1856" spans="1:6" x14ac:dyDescent="0.25">
      <c r="A1856" s="35"/>
      <c r="C1856" s="35"/>
      <c r="D1856" s="35"/>
      <c r="E1856" s="35"/>
      <c r="F1856" s="268"/>
    </row>
    <row r="1857" spans="1:6" x14ac:dyDescent="0.25">
      <c r="A1857" s="35"/>
      <c r="C1857" s="35"/>
      <c r="D1857" s="35"/>
      <c r="E1857" s="35"/>
      <c r="F1857" s="268"/>
    </row>
    <row r="1858" spans="1:6" x14ac:dyDescent="0.25">
      <c r="A1858" s="35"/>
      <c r="C1858" s="35"/>
      <c r="D1858" s="35"/>
      <c r="E1858" s="35"/>
      <c r="F1858" s="268"/>
    </row>
    <row r="1859" spans="1:6" x14ac:dyDescent="0.25">
      <c r="A1859" s="35"/>
      <c r="C1859" s="35"/>
      <c r="D1859" s="35"/>
      <c r="E1859" s="35"/>
      <c r="F1859" s="268"/>
    </row>
    <row r="1860" spans="1:6" x14ac:dyDescent="0.25">
      <c r="A1860" s="35"/>
      <c r="C1860" s="35"/>
      <c r="D1860" s="35"/>
      <c r="E1860" s="35"/>
      <c r="F1860" s="268"/>
    </row>
    <row r="1861" spans="1:6" x14ac:dyDescent="0.25">
      <c r="A1861" s="35"/>
      <c r="C1861" s="35"/>
      <c r="D1861" s="35"/>
      <c r="E1861" s="35"/>
      <c r="F1861" s="268"/>
    </row>
    <row r="1862" spans="1:6" x14ac:dyDescent="0.25">
      <c r="A1862" s="35"/>
      <c r="C1862" s="35"/>
      <c r="D1862" s="35"/>
      <c r="E1862" s="35"/>
      <c r="F1862" s="268"/>
    </row>
    <row r="1863" spans="1:6" x14ac:dyDescent="0.25">
      <c r="A1863" s="35"/>
      <c r="C1863" s="35"/>
      <c r="D1863" s="35"/>
      <c r="E1863" s="35"/>
      <c r="F1863" s="268"/>
    </row>
    <row r="1864" spans="1:6" x14ac:dyDescent="0.25">
      <c r="A1864" s="35"/>
      <c r="C1864" s="35"/>
      <c r="D1864" s="35"/>
      <c r="E1864" s="35"/>
      <c r="F1864" s="268"/>
    </row>
    <row r="1865" spans="1:6" x14ac:dyDescent="0.25">
      <c r="A1865" s="35"/>
      <c r="C1865" s="35"/>
      <c r="D1865" s="35"/>
      <c r="E1865" s="35"/>
      <c r="F1865" s="268"/>
    </row>
    <row r="1866" spans="1:6" x14ac:dyDescent="0.25">
      <c r="A1866" s="35"/>
      <c r="C1866" s="35"/>
      <c r="D1866" s="35"/>
      <c r="E1866" s="35"/>
      <c r="F1866" s="268"/>
    </row>
    <row r="1867" spans="1:6" x14ac:dyDescent="0.25">
      <c r="A1867" s="35"/>
      <c r="C1867" s="35"/>
      <c r="D1867" s="35"/>
      <c r="E1867" s="35"/>
      <c r="F1867" s="268"/>
    </row>
    <row r="1868" spans="1:6" x14ac:dyDescent="0.25">
      <c r="A1868" s="35"/>
      <c r="C1868" s="35"/>
      <c r="D1868" s="35"/>
      <c r="E1868" s="35"/>
      <c r="F1868" s="268"/>
    </row>
    <row r="1869" spans="1:6" x14ac:dyDescent="0.25">
      <c r="A1869" s="35"/>
      <c r="C1869" s="35"/>
      <c r="D1869" s="35"/>
      <c r="E1869" s="35"/>
      <c r="F1869" s="268"/>
    </row>
    <row r="1870" spans="1:6" x14ac:dyDescent="0.25">
      <c r="A1870" s="35"/>
      <c r="C1870" s="35"/>
      <c r="D1870" s="35"/>
      <c r="E1870" s="35"/>
      <c r="F1870" s="268"/>
    </row>
    <row r="1871" spans="1:6" x14ac:dyDescent="0.25">
      <c r="A1871" s="35"/>
      <c r="C1871" s="35"/>
      <c r="D1871" s="35"/>
      <c r="E1871" s="35"/>
      <c r="F1871" s="268"/>
    </row>
    <row r="1872" spans="1:6" x14ac:dyDescent="0.25">
      <c r="A1872" s="35"/>
      <c r="C1872" s="35"/>
      <c r="D1872" s="35"/>
      <c r="E1872" s="35"/>
      <c r="F1872" s="268"/>
    </row>
    <row r="1873" spans="1:6" x14ac:dyDescent="0.25">
      <c r="A1873" s="35"/>
      <c r="C1873" s="35"/>
      <c r="D1873" s="35"/>
      <c r="E1873" s="35"/>
      <c r="F1873" s="268"/>
    </row>
    <row r="1874" spans="1:6" x14ac:dyDescent="0.25">
      <c r="A1874" s="35"/>
      <c r="C1874" s="35"/>
      <c r="D1874" s="35"/>
      <c r="E1874" s="35"/>
      <c r="F1874" s="268"/>
    </row>
    <row r="1875" spans="1:6" x14ac:dyDescent="0.25">
      <c r="A1875" s="35"/>
      <c r="C1875" s="35"/>
      <c r="D1875" s="35"/>
      <c r="E1875" s="35"/>
      <c r="F1875" s="268"/>
    </row>
    <row r="1876" spans="1:6" x14ac:dyDescent="0.25">
      <c r="A1876" s="35"/>
      <c r="C1876" s="35"/>
      <c r="D1876" s="35"/>
      <c r="E1876" s="35"/>
      <c r="F1876" s="268"/>
    </row>
    <row r="1877" spans="1:6" x14ac:dyDescent="0.25">
      <c r="A1877" s="35"/>
      <c r="C1877" s="35"/>
      <c r="D1877" s="35"/>
      <c r="E1877" s="35"/>
      <c r="F1877" s="268"/>
    </row>
    <row r="1878" spans="1:6" x14ac:dyDescent="0.25">
      <c r="A1878" s="35"/>
      <c r="C1878" s="35"/>
      <c r="D1878" s="35"/>
      <c r="E1878" s="35"/>
      <c r="F1878" s="268"/>
    </row>
    <row r="1879" spans="1:6" x14ac:dyDescent="0.25">
      <c r="A1879" s="35"/>
      <c r="C1879" s="35"/>
      <c r="D1879" s="35"/>
      <c r="E1879" s="35"/>
      <c r="F1879" s="268"/>
    </row>
    <row r="1880" spans="1:6" x14ac:dyDescent="0.25">
      <c r="A1880" s="35"/>
      <c r="C1880" s="35"/>
      <c r="D1880" s="35"/>
      <c r="E1880" s="35"/>
      <c r="F1880" s="268"/>
    </row>
    <row r="1881" spans="1:6" x14ac:dyDescent="0.25">
      <c r="A1881" s="35"/>
      <c r="C1881" s="35"/>
      <c r="D1881" s="35"/>
      <c r="E1881" s="35"/>
      <c r="F1881" s="268"/>
    </row>
  </sheetData>
  <mergeCells count="3">
    <mergeCell ref="A1:G1"/>
    <mergeCell ref="H76:Q76"/>
    <mergeCell ref="F267:G267"/>
  </mergeCells>
  <conditionalFormatting sqref="F254:X254">
    <cfRule type="cellIs" dxfId="14" priority="1" stopIfTrue="1" operator="greaterThan">
      <formula>15</formula>
    </cfRule>
  </conditionalFormatting>
  <printOptions horizontalCentered="1"/>
  <pageMargins left="0.31496062992125984" right="0.31496062992125984" top="0.74803149606299213" bottom="0.51181102362204722" header="0.51181102362204722" footer="0.51181102362204722"/>
  <pageSetup paperSize="9" scale="4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81"/>
  <sheetViews>
    <sheetView view="pageBreakPreview" zoomScale="90" zoomScaleNormal="100" zoomScaleSheetLayoutView="90" workbookViewId="0">
      <pane ySplit="82" topLeftCell="A246" activePane="bottomLeft" state="frozen"/>
      <selection pane="bottomLeft" activeCell="G260" sqref="G260"/>
    </sheetView>
  </sheetViews>
  <sheetFormatPr defaultColWidth="9.109375" defaultRowHeight="13.2" x14ac:dyDescent="0.25"/>
  <cols>
    <col min="1" max="1" width="7.109375" style="74" customWidth="1"/>
    <col min="2" max="2" width="37.44140625" style="35" customWidth="1"/>
    <col min="3" max="3" width="13.44140625" style="267" customWidth="1"/>
    <col min="4" max="4" width="11.5546875" style="266" bestFit="1" customWidth="1"/>
    <col min="5" max="5" width="12.109375" style="265" customWidth="1"/>
    <col min="6" max="6" width="17.6640625" style="265" customWidth="1"/>
    <col min="7" max="7" width="14.5546875" style="35" customWidth="1"/>
    <col min="8" max="17" width="10.109375" style="35" hidden="1" customWidth="1"/>
    <col min="18" max="19" width="13.33203125" style="35" hidden="1" customWidth="1"/>
    <col min="20" max="22" width="10.109375" style="35" hidden="1" customWidth="1"/>
    <col min="23" max="23" width="9.109375" style="35" hidden="1" customWidth="1"/>
    <col min="24" max="24" width="1" style="35" hidden="1" customWidth="1"/>
    <col min="25" max="25" width="32.6640625" style="35" customWidth="1"/>
    <col min="26" max="26" width="13.88671875" style="35" bestFit="1" customWidth="1"/>
    <col min="27" max="27" width="9.109375" style="35"/>
    <col min="28" max="28" width="11.5546875" style="35" customWidth="1"/>
    <col min="29" max="16384" width="9.109375" style="35"/>
  </cols>
  <sheetData>
    <row r="1" spans="1:27" x14ac:dyDescent="0.25">
      <c r="A1" s="860" t="s">
        <v>66</v>
      </c>
      <c r="B1" s="845"/>
      <c r="C1" s="845"/>
      <c r="D1" s="845"/>
      <c r="E1" s="845"/>
      <c r="F1" s="845"/>
      <c r="G1" s="846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7" hidden="1" x14ac:dyDescent="0.25">
      <c r="A2" s="376"/>
      <c r="B2" s="72"/>
      <c r="C2" s="72"/>
      <c r="D2" s="72"/>
      <c r="E2" s="72"/>
      <c r="F2" s="72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7" hidden="1" x14ac:dyDescent="0.25">
      <c r="A3" s="74" t="s">
        <v>10</v>
      </c>
      <c r="F3" s="268"/>
    </row>
    <row r="4" spans="1:27" hidden="1" x14ac:dyDescent="0.25">
      <c r="B4" s="79" t="s">
        <v>25</v>
      </c>
      <c r="C4" s="396">
        <f>[2]Consolidated!C4</f>
        <v>1</v>
      </c>
      <c r="F4" s="268"/>
      <c r="Y4" s="81"/>
    </row>
    <row r="5" spans="1:27" hidden="1" x14ac:dyDescent="0.25">
      <c r="B5" s="82" t="s">
        <v>172</v>
      </c>
      <c r="F5" s="268"/>
    </row>
    <row r="6" spans="1:27" x14ac:dyDescent="0.25">
      <c r="B6" s="82"/>
      <c r="F6" s="268"/>
    </row>
    <row r="7" spans="1:27" x14ac:dyDescent="0.25">
      <c r="A7" s="74" t="s">
        <v>393</v>
      </c>
      <c r="B7" s="82"/>
      <c r="F7" s="268"/>
    </row>
    <row r="8" spans="1:27" x14ac:dyDescent="0.25">
      <c r="A8" s="74" t="s">
        <v>4</v>
      </c>
      <c r="B8" s="82"/>
      <c r="F8" s="268"/>
    </row>
    <row r="9" spans="1:27" x14ac:dyDescent="0.25">
      <c r="A9" s="74" t="s">
        <v>394</v>
      </c>
      <c r="B9" s="82"/>
      <c r="C9" s="267">
        <v>1500</v>
      </c>
      <c r="F9" s="268"/>
    </row>
    <row r="10" spans="1:27" x14ac:dyDescent="0.25">
      <c r="B10" s="83"/>
    </row>
    <row r="11" spans="1:27" x14ac:dyDescent="0.25">
      <c r="A11" s="74" t="s">
        <v>23</v>
      </c>
      <c r="C11" s="267" t="s">
        <v>395</v>
      </c>
    </row>
    <row r="12" spans="1:27" x14ac:dyDescent="0.25">
      <c r="A12" s="74" t="s">
        <v>67</v>
      </c>
      <c r="C12" s="81" t="s">
        <v>396</v>
      </c>
    </row>
    <row r="13" spans="1:27" x14ac:dyDescent="0.25">
      <c r="A13" s="74" t="s">
        <v>68</v>
      </c>
      <c r="C13" s="81" t="str">
        <f>Consolidated!C9</f>
        <v xml:space="preserve">Humanitarian Response for People Affected by the Syrian Conflict </v>
      </c>
    </row>
    <row r="14" spans="1:27" x14ac:dyDescent="0.25">
      <c r="A14" s="74" t="s">
        <v>56</v>
      </c>
      <c r="C14" s="267" t="str">
        <f>Consolidated!C10</f>
        <v>January 1st 2019-December 31st 2019</v>
      </c>
    </row>
    <row r="15" spans="1:27" hidden="1" x14ac:dyDescent="0.25">
      <c r="B15" s="74"/>
      <c r="C15" s="358"/>
      <c r="D15" s="357"/>
      <c r="E15" s="376"/>
      <c r="F15" s="374" t="s">
        <v>69</v>
      </c>
      <c r="G15" s="374" t="s">
        <v>69</v>
      </c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88"/>
      <c r="X15" s="88"/>
      <c r="Y15" s="88"/>
      <c r="Z15" s="88"/>
      <c r="AA15" s="88"/>
    </row>
    <row r="16" spans="1:27" hidden="1" x14ac:dyDescent="0.25">
      <c r="B16" s="74"/>
      <c r="C16" s="358"/>
      <c r="D16" s="357"/>
      <c r="E16" s="376"/>
      <c r="F16" s="374" t="s">
        <v>5</v>
      </c>
      <c r="G16" s="374" t="s">
        <v>5</v>
      </c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88"/>
      <c r="X16" s="88"/>
      <c r="Y16" s="88"/>
      <c r="Z16" s="88"/>
      <c r="AA16" s="88"/>
    </row>
    <row r="17" spans="1:27" hidden="1" x14ac:dyDescent="0.25">
      <c r="A17" s="89" t="s">
        <v>47</v>
      </c>
      <c r="C17" s="358"/>
      <c r="D17" s="357"/>
      <c r="E17" s="356"/>
      <c r="F17" s="356" t="s">
        <v>20</v>
      </c>
      <c r="G17" s="91" t="s">
        <v>4</v>
      </c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88"/>
      <c r="X17" s="88"/>
      <c r="Y17" s="88"/>
      <c r="Z17" s="88"/>
      <c r="AA17" s="88"/>
    </row>
    <row r="18" spans="1:27" s="93" customFormat="1" hidden="1" x14ac:dyDescent="0.25">
      <c r="A18" s="92"/>
      <c r="C18" s="394"/>
      <c r="D18" s="393"/>
      <c r="E18" s="392"/>
      <c r="F18" s="392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</row>
    <row r="19" spans="1:27" s="1" customFormat="1" hidden="1" x14ac:dyDescent="0.25">
      <c r="A19" s="98"/>
      <c r="C19" s="391"/>
      <c r="D19" s="390"/>
      <c r="E19" s="389"/>
      <c r="F19" s="389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</row>
    <row r="20" spans="1:27" s="107" customFormat="1" hidden="1" x14ac:dyDescent="0.25">
      <c r="A20" s="103" t="s">
        <v>21</v>
      </c>
      <c r="B20" s="39"/>
      <c r="C20" s="384"/>
      <c r="D20" s="383"/>
      <c r="E20" s="382"/>
      <c r="F20" s="320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7" s="107" customFormat="1" hidden="1" x14ac:dyDescent="0.25">
      <c r="A21" s="103" t="s">
        <v>32</v>
      </c>
      <c r="B21" s="108" t="s">
        <v>33</v>
      </c>
      <c r="C21" s="103" t="s">
        <v>174</v>
      </c>
      <c r="D21" s="103" t="s">
        <v>65</v>
      </c>
      <c r="E21" s="382"/>
      <c r="F21" s="320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9"/>
      <c r="X21" s="39"/>
      <c r="Y21" s="39"/>
      <c r="Z21" s="39"/>
    </row>
    <row r="22" spans="1:27" s="107" customFormat="1" hidden="1" x14ac:dyDescent="0.25">
      <c r="A22" s="109"/>
      <c r="B22" s="110"/>
      <c r="C22" s="326" t="s">
        <v>175</v>
      </c>
      <c r="D22" s="388"/>
      <c r="E22" s="382"/>
      <c r="F22" s="385">
        <v>0</v>
      </c>
      <c r="G22" s="326">
        <f>F22*C4</f>
        <v>0</v>
      </c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9"/>
      <c r="X22" s="39"/>
      <c r="Y22" s="39"/>
      <c r="Z22" s="39"/>
    </row>
    <row r="23" spans="1:27" s="107" customFormat="1" hidden="1" x14ac:dyDescent="0.25">
      <c r="A23" s="109"/>
      <c r="B23" s="110"/>
      <c r="C23" s="326" t="s">
        <v>176</v>
      </c>
      <c r="D23" s="388"/>
      <c r="E23" s="382"/>
      <c r="F23" s="385">
        <v>0</v>
      </c>
      <c r="G23" s="326">
        <f>F23*C4</f>
        <v>0</v>
      </c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9"/>
      <c r="X23" s="39"/>
      <c r="Y23" s="39"/>
      <c r="Z23" s="39"/>
    </row>
    <row r="24" spans="1:27" s="107" customFormat="1" hidden="1" x14ac:dyDescent="0.25">
      <c r="A24" s="109"/>
      <c r="B24" s="110"/>
      <c r="C24" s="326" t="s">
        <v>177</v>
      </c>
      <c r="D24" s="388"/>
      <c r="E24" s="382"/>
      <c r="F24" s="385">
        <v>0</v>
      </c>
      <c r="G24" s="326">
        <f>F24*C4</f>
        <v>0</v>
      </c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9"/>
      <c r="X24" s="39"/>
      <c r="Y24" s="39"/>
      <c r="Z24" s="39"/>
    </row>
    <row r="25" spans="1:27" s="107" customFormat="1" hidden="1" x14ac:dyDescent="0.25">
      <c r="A25" s="109"/>
      <c r="B25" s="110"/>
      <c r="C25" s="326" t="s">
        <v>178</v>
      </c>
      <c r="D25" s="388"/>
      <c r="E25" s="382"/>
      <c r="F25" s="385">
        <v>0</v>
      </c>
      <c r="G25" s="326">
        <f>F25*C4</f>
        <v>0</v>
      </c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9"/>
      <c r="X25" s="39"/>
      <c r="Y25" s="39"/>
      <c r="Z25" s="39"/>
    </row>
    <row r="26" spans="1:27" s="107" customFormat="1" hidden="1" x14ac:dyDescent="0.25">
      <c r="A26" s="109"/>
      <c r="B26" s="110"/>
      <c r="C26" s="326" t="s">
        <v>179</v>
      </c>
      <c r="D26" s="388"/>
      <c r="E26" s="382"/>
      <c r="F26" s="385">
        <v>0</v>
      </c>
      <c r="G26" s="326">
        <f>F26*C4</f>
        <v>0</v>
      </c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9"/>
      <c r="X26" s="39"/>
      <c r="Y26" s="39"/>
      <c r="Z26" s="39"/>
    </row>
    <row r="27" spans="1:27" s="107" customFormat="1" hidden="1" x14ac:dyDescent="0.25">
      <c r="A27" s="109"/>
      <c r="B27" s="110"/>
      <c r="C27" s="326" t="s">
        <v>180</v>
      </c>
      <c r="D27" s="388"/>
      <c r="E27" s="382"/>
      <c r="F27" s="385">
        <v>0</v>
      </c>
      <c r="G27" s="326">
        <f>F27*C4</f>
        <v>0</v>
      </c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9"/>
      <c r="X27" s="39"/>
      <c r="Y27" s="39"/>
      <c r="Z27" s="39"/>
    </row>
    <row r="28" spans="1:27" s="107" customFormat="1" hidden="1" x14ac:dyDescent="0.25">
      <c r="A28" s="109"/>
      <c r="B28" s="110"/>
      <c r="C28" s="326" t="s">
        <v>181</v>
      </c>
      <c r="D28" s="388"/>
      <c r="E28" s="382"/>
      <c r="F28" s="385">
        <v>0</v>
      </c>
      <c r="G28" s="326">
        <f>F28*C4</f>
        <v>0</v>
      </c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9"/>
      <c r="X28" s="39"/>
      <c r="Y28" s="39"/>
      <c r="Z28" s="39"/>
    </row>
    <row r="29" spans="1:27" s="107" customFormat="1" hidden="1" x14ac:dyDescent="0.25">
      <c r="A29" s="109"/>
      <c r="B29" s="110"/>
      <c r="C29" s="326" t="s">
        <v>182</v>
      </c>
      <c r="D29" s="388"/>
      <c r="E29" s="382"/>
      <c r="F29" s="385">
        <v>0</v>
      </c>
      <c r="G29" s="326">
        <f>F29*C4</f>
        <v>0</v>
      </c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9"/>
      <c r="X29" s="39"/>
      <c r="Y29" s="39"/>
      <c r="Z29" s="39"/>
    </row>
    <row r="30" spans="1:27" s="107" customFormat="1" hidden="1" x14ac:dyDescent="0.25">
      <c r="A30" s="109"/>
      <c r="B30" s="110"/>
      <c r="C30" s="326" t="s">
        <v>183</v>
      </c>
      <c r="D30" s="388"/>
      <c r="E30" s="382"/>
      <c r="F30" s="385">
        <v>0</v>
      </c>
      <c r="G30" s="326">
        <f>F30*C4</f>
        <v>0</v>
      </c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9"/>
      <c r="X30" s="39"/>
      <c r="Y30" s="39"/>
      <c r="Z30" s="39"/>
    </row>
    <row r="31" spans="1:27" s="107" customFormat="1" hidden="1" x14ac:dyDescent="0.25">
      <c r="A31" s="109"/>
      <c r="B31" s="110"/>
      <c r="C31" s="326" t="s">
        <v>184</v>
      </c>
      <c r="D31" s="388"/>
      <c r="E31" s="382"/>
      <c r="F31" s="385">
        <v>0</v>
      </c>
      <c r="G31" s="326">
        <f>F31*C4</f>
        <v>0</v>
      </c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9"/>
      <c r="X31" s="39"/>
      <c r="Y31" s="39"/>
      <c r="Z31" s="39"/>
    </row>
    <row r="32" spans="1:27" s="107" customFormat="1" hidden="1" x14ac:dyDescent="0.25">
      <c r="A32" s="103"/>
      <c r="B32" s="108" t="s">
        <v>173</v>
      </c>
      <c r="C32" s="384"/>
      <c r="D32" s="383"/>
      <c r="E32" s="382"/>
      <c r="F32" s="326">
        <f>SUM(F22:F31)</f>
        <v>0</v>
      </c>
      <c r="G32" s="326">
        <f>SUM(G22:G31)</f>
        <v>0</v>
      </c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9"/>
      <c r="X32" s="39"/>
      <c r="Y32" s="39"/>
      <c r="Z32" s="39"/>
    </row>
    <row r="33" spans="1:26" s="107" customFormat="1" hidden="1" x14ac:dyDescent="0.25">
      <c r="A33" s="103"/>
      <c r="B33" s="113"/>
      <c r="C33" s="384"/>
      <c r="D33" s="383"/>
      <c r="E33" s="382"/>
      <c r="F33" s="320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9"/>
      <c r="X33" s="39"/>
      <c r="Y33" s="39"/>
      <c r="Z33" s="39"/>
    </row>
    <row r="34" spans="1:26" s="107" customFormat="1" hidden="1" x14ac:dyDescent="0.25">
      <c r="A34" s="103" t="s">
        <v>34</v>
      </c>
      <c r="B34" s="39"/>
      <c r="C34" s="384"/>
      <c r="D34" s="383"/>
      <c r="E34" s="382"/>
      <c r="F34" s="320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9"/>
      <c r="X34" s="39"/>
      <c r="Y34" s="39"/>
      <c r="Z34" s="39"/>
    </row>
    <row r="35" spans="1:26" s="107" customFormat="1" hidden="1" x14ac:dyDescent="0.25">
      <c r="A35" s="103" t="s">
        <v>32</v>
      </c>
      <c r="B35" s="108" t="s">
        <v>33</v>
      </c>
      <c r="C35" s="384" t="s">
        <v>174</v>
      </c>
      <c r="D35" s="383"/>
      <c r="E35" s="382"/>
      <c r="F35" s="320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9"/>
      <c r="X35" s="39"/>
      <c r="Y35" s="39"/>
      <c r="Z35" s="39"/>
    </row>
    <row r="36" spans="1:26" s="107" customFormat="1" hidden="1" x14ac:dyDescent="0.25">
      <c r="A36" s="114"/>
      <c r="B36" s="110"/>
      <c r="C36" s="386"/>
      <c r="D36" s="383"/>
      <c r="E36" s="382"/>
      <c r="F36" s="385">
        <v>0</v>
      </c>
      <c r="G36" s="326">
        <f>(C4)*F36</f>
        <v>0</v>
      </c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9"/>
      <c r="X36" s="39"/>
      <c r="Y36" s="39"/>
      <c r="Z36" s="39"/>
    </row>
    <row r="37" spans="1:26" s="107" customFormat="1" hidden="1" x14ac:dyDescent="0.25">
      <c r="A37" s="114"/>
      <c r="B37" s="110"/>
      <c r="C37" s="386"/>
      <c r="D37" s="383"/>
      <c r="E37" s="382"/>
      <c r="F37" s="385">
        <v>0</v>
      </c>
      <c r="G37" s="326">
        <f>F37*C4</f>
        <v>0</v>
      </c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9"/>
      <c r="X37" s="39"/>
      <c r="Y37" s="39"/>
      <c r="Z37" s="39"/>
    </row>
    <row r="38" spans="1:26" s="107" customFormat="1" hidden="1" x14ac:dyDescent="0.25">
      <c r="A38" s="114"/>
      <c r="B38" s="110"/>
      <c r="C38" s="386"/>
      <c r="D38" s="383"/>
      <c r="E38" s="382"/>
      <c r="F38" s="385">
        <v>0</v>
      </c>
      <c r="G38" s="326">
        <f>F38*C4</f>
        <v>0</v>
      </c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9"/>
      <c r="X38" s="39"/>
      <c r="Y38" s="39"/>
      <c r="Z38" s="39"/>
    </row>
    <row r="39" spans="1:26" s="107" customFormat="1" hidden="1" x14ac:dyDescent="0.25">
      <c r="A39" s="114"/>
      <c r="B39" s="110"/>
      <c r="C39" s="386"/>
      <c r="D39" s="383"/>
      <c r="E39" s="382"/>
      <c r="F39" s="385">
        <v>0</v>
      </c>
      <c r="G39" s="326">
        <f>F39*C4</f>
        <v>0</v>
      </c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9"/>
      <c r="X39" s="39"/>
      <c r="Y39" s="39"/>
      <c r="Z39" s="39"/>
    </row>
    <row r="40" spans="1:26" s="107" customFormat="1" hidden="1" x14ac:dyDescent="0.25">
      <c r="A40" s="114"/>
      <c r="B40" s="110"/>
      <c r="C40" s="386"/>
      <c r="D40" s="383"/>
      <c r="E40" s="382"/>
      <c r="F40" s="385">
        <v>0</v>
      </c>
      <c r="G40" s="326">
        <f>F40*C4</f>
        <v>0</v>
      </c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9"/>
      <c r="X40" s="39"/>
      <c r="Y40" s="39"/>
      <c r="Z40" s="39"/>
    </row>
    <row r="41" spans="1:26" s="107" customFormat="1" hidden="1" x14ac:dyDescent="0.25">
      <c r="A41" s="114"/>
      <c r="B41" s="110"/>
      <c r="C41" s="386"/>
      <c r="D41" s="383"/>
      <c r="E41" s="382"/>
      <c r="F41" s="385">
        <v>0</v>
      </c>
      <c r="G41" s="326">
        <f>F41*C4</f>
        <v>0</v>
      </c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9"/>
      <c r="X41" s="39"/>
      <c r="Y41" s="39"/>
      <c r="Z41" s="39"/>
    </row>
    <row r="42" spans="1:26" s="107" customFormat="1" hidden="1" x14ac:dyDescent="0.25">
      <c r="A42" s="114"/>
      <c r="B42" s="110"/>
      <c r="C42" s="386"/>
      <c r="D42" s="383"/>
      <c r="E42" s="382"/>
      <c r="F42" s="385">
        <v>0</v>
      </c>
      <c r="G42" s="326">
        <f>F42*C4</f>
        <v>0</v>
      </c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9"/>
      <c r="X42" s="39"/>
      <c r="Y42" s="39"/>
      <c r="Z42" s="39"/>
    </row>
    <row r="43" spans="1:26" s="107" customFormat="1" hidden="1" x14ac:dyDescent="0.25">
      <c r="A43" s="114"/>
      <c r="B43" s="110"/>
      <c r="C43" s="386"/>
      <c r="D43" s="383"/>
      <c r="E43" s="382"/>
      <c r="F43" s="385">
        <v>0</v>
      </c>
      <c r="G43" s="326">
        <f>F43*C4</f>
        <v>0</v>
      </c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9"/>
      <c r="X43" s="39"/>
      <c r="Y43" s="39"/>
      <c r="Z43" s="39"/>
    </row>
    <row r="44" spans="1:26" s="107" customFormat="1" hidden="1" x14ac:dyDescent="0.25">
      <c r="A44" s="114"/>
      <c r="B44" s="110"/>
      <c r="C44" s="386"/>
      <c r="D44" s="383"/>
      <c r="E44" s="382"/>
      <c r="F44" s="385">
        <v>0</v>
      </c>
      <c r="G44" s="326">
        <f>F44*C4</f>
        <v>0</v>
      </c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9"/>
      <c r="X44" s="39"/>
      <c r="Y44" s="39"/>
      <c r="Z44" s="39"/>
    </row>
    <row r="45" spans="1:26" s="107" customFormat="1" hidden="1" x14ac:dyDescent="0.25">
      <c r="A45" s="114"/>
      <c r="B45" s="110"/>
      <c r="C45" s="386"/>
      <c r="D45" s="383"/>
      <c r="E45" s="382"/>
      <c r="F45" s="385">
        <v>0</v>
      </c>
      <c r="G45" s="326">
        <f>F45*C4</f>
        <v>0</v>
      </c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9"/>
      <c r="X45" s="39"/>
      <c r="Y45" s="39"/>
      <c r="Z45" s="39"/>
    </row>
    <row r="46" spans="1:26" s="107" customFormat="1" hidden="1" x14ac:dyDescent="0.25">
      <c r="A46" s="103"/>
      <c r="B46" s="108" t="s">
        <v>173</v>
      </c>
      <c r="C46" s="384"/>
      <c r="D46" s="383"/>
      <c r="E46" s="382"/>
      <c r="F46" s="326">
        <f>SUM(F36:F45)</f>
        <v>0</v>
      </c>
      <c r="G46" s="326">
        <f>SUM(G36:G45)</f>
        <v>0</v>
      </c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9"/>
      <c r="X46" s="39"/>
      <c r="Y46" s="39"/>
      <c r="Z46" s="39"/>
    </row>
    <row r="47" spans="1:26" s="107" customFormat="1" hidden="1" x14ac:dyDescent="0.25">
      <c r="A47" s="103"/>
      <c r="B47" s="103" t="s">
        <v>64</v>
      </c>
      <c r="C47" s="384"/>
      <c r="D47" s="383"/>
      <c r="E47" s="382"/>
      <c r="F47" s="387">
        <v>0</v>
      </c>
      <c r="G47" s="326">
        <f>F47*C4</f>
        <v>0</v>
      </c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9"/>
      <c r="X47" s="39"/>
      <c r="Y47" s="39"/>
      <c r="Z47" s="39"/>
    </row>
    <row r="48" spans="1:26" s="107" customFormat="1" hidden="1" x14ac:dyDescent="0.25">
      <c r="A48" s="103"/>
      <c r="B48" s="39"/>
      <c r="C48" s="384"/>
      <c r="D48" s="383"/>
      <c r="E48" s="382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9"/>
      <c r="X48" s="39"/>
      <c r="Y48" s="39"/>
      <c r="Z48" s="39"/>
    </row>
    <row r="49" spans="1:26" s="107" customFormat="1" hidden="1" x14ac:dyDescent="0.25">
      <c r="A49" s="103" t="s">
        <v>35</v>
      </c>
      <c r="B49" s="39"/>
      <c r="C49" s="384"/>
      <c r="D49" s="383"/>
      <c r="E49" s="382"/>
      <c r="F49" s="320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9"/>
      <c r="X49" s="39"/>
      <c r="Y49" s="39"/>
      <c r="Z49" s="39"/>
    </row>
    <row r="50" spans="1:26" s="107" customFormat="1" hidden="1" x14ac:dyDescent="0.25">
      <c r="A50" s="103" t="s">
        <v>32</v>
      </c>
      <c r="B50" s="108" t="s">
        <v>33</v>
      </c>
      <c r="C50" s="384" t="s">
        <v>174</v>
      </c>
      <c r="D50" s="383"/>
      <c r="E50" s="382"/>
      <c r="F50" s="320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9"/>
      <c r="X50" s="39"/>
      <c r="Y50" s="39"/>
      <c r="Z50" s="39"/>
    </row>
    <row r="51" spans="1:26" s="107" customFormat="1" hidden="1" x14ac:dyDescent="0.25">
      <c r="A51" s="114"/>
      <c r="B51" s="110"/>
      <c r="C51" s="386"/>
      <c r="D51" s="383"/>
      <c r="E51" s="382"/>
      <c r="F51" s="385">
        <v>0</v>
      </c>
      <c r="G51" s="326">
        <f>F51*C4</f>
        <v>0</v>
      </c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9"/>
      <c r="X51" s="39"/>
      <c r="Y51" s="39"/>
      <c r="Z51" s="39"/>
    </row>
    <row r="52" spans="1:26" s="107" customFormat="1" hidden="1" x14ac:dyDescent="0.25">
      <c r="A52" s="114"/>
      <c r="B52" s="110"/>
      <c r="C52" s="386"/>
      <c r="D52" s="383"/>
      <c r="E52" s="382"/>
      <c r="F52" s="385">
        <v>0</v>
      </c>
      <c r="G52" s="326">
        <f>F52*C4</f>
        <v>0</v>
      </c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9"/>
      <c r="X52" s="39"/>
      <c r="Y52" s="39"/>
      <c r="Z52" s="39"/>
    </row>
    <row r="53" spans="1:26" s="107" customFormat="1" hidden="1" x14ac:dyDescent="0.25">
      <c r="A53" s="114"/>
      <c r="B53" s="110"/>
      <c r="C53" s="386"/>
      <c r="D53" s="383"/>
      <c r="E53" s="382"/>
      <c r="F53" s="385">
        <v>0</v>
      </c>
      <c r="G53" s="326">
        <f>F53*C4</f>
        <v>0</v>
      </c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9"/>
      <c r="X53" s="39"/>
      <c r="Y53" s="39"/>
      <c r="Z53" s="39"/>
    </row>
    <row r="54" spans="1:26" s="107" customFormat="1" hidden="1" x14ac:dyDescent="0.25">
      <c r="A54" s="114"/>
      <c r="B54" s="110"/>
      <c r="C54" s="386"/>
      <c r="D54" s="383"/>
      <c r="E54" s="382"/>
      <c r="F54" s="385">
        <v>0</v>
      </c>
      <c r="G54" s="326">
        <f>F54*C4</f>
        <v>0</v>
      </c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9"/>
      <c r="X54" s="39"/>
      <c r="Y54" s="39"/>
      <c r="Z54" s="39"/>
    </row>
    <row r="55" spans="1:26" s="107" customFormat="1" hidden="1" x14ac:dyDescent="0.25">
      <c r="A55" s="114"/>
      <c r="B55" s="110"/>
      <c r="C55" s="386"/>
      <c r="D55" s="383"/>
      <c r="E55" s="382"/>
      <c r="F55" s="385">
        <v>0</v>
      </c>
      <c r="G55" s="326">
        <f>F55*C4</f>
        <v>0</v>
      </c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9"/>
      <c r="X55" s="39"/>
      <c r="Y55" s="39"/>
      <c r="Z55" s="39"/>
    </row>
    <row r="56" spans="1:26" s="107" customFormat="1" hidden="1" x14ac:dyDescent="0.25">
      <c r="A56" s="114"/>
      <c r="B56" s="110"/>
      <c r="C56" s="386"/>
      <c r="D56" s="383"/>
      <c r="E56" s="382"/>
      <c r="F56" s="385">
        <v>0</v>
      </c>
      <c r="G56" s="326">
        <f>F56*C4</f>
        <v>0</v>
      </c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9"/>
      <c r="X56" s="39"/>
      <c r="Y56" s="39"/>
      <c r="Z56" s="39"/>
    </row>
    <row r="57" spans="1:26" s="107" customFormat="1" hidden="1" x14ac:dyDescent="0.25">
      <c r="A57" s="114"/>
      <c r="B57" s="110"/>
      <c r="C57" s="386"/>
      <c r="D57" s="383"/>
      <c r="E57" s="382"/>
      <c r="F57" s="385">
        <v>0</v>
      </c>
      <c r="G57" s="326">
        <f>F57*C4</f>
        <v>0</v>
      </c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9"/>
      <c r="X57" s="39"/>
      <c r="Y57" s="39"/>
      <c r="Z57" s="39"/>
    </row>
    <row r="58" spans="1:26" s="107" customFormat="1" hidden="1" x14ac:dyDescent="0.25">
      <c r="A58" s="114"/>
      <c r="B58" s="110"/>
      <c r="C58" s="386"/>
      <c r="D58" s="383"/>
      <c r="E58" s="382"/>
      <c r="F58" s="385">
        <v>0</v>
      </c>
      <c r="G58" s="326">
        <f>F58*C4</f>
        <v>0</v>
      </c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  <c r="T58" s="326"/>
      <c r="U58" s="326"/>
      <c r="V58" s="326"/>
      <c r="W58" s="39"/>
      <c r="X58" s="39"/>
      <c r="Y58" s="39"/>
      <c r="Z58" s="39"/>
    </row>
    <row r="59" spans="1:26" s="107" customFormat="1" hidden="1" x14ac:dyDescent="0.25">
      <c r="A59" s="114"/>
      <c r="B59" s="110"/>
      <c r="C59" s="386"/>
      <c r="D59" s="383"/>
      <c r="E59" s="382"/>
      <c r="F59" s="385">
        <v>0</v>
      </c>
      <c r="G59" s="326">
        <f>F59*C4</f>
        <v>0</v>
      </c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  <c r="T59" s="326"/>
      <c r="U59" s="326"/>
      <c r="V59" s="326"/>
      <c r="W59" s="39"/>
      <c r="X59" s="39"/>
      <c r="Y59" s="39"/>
      <c r="Z59" s="39"/>
    </row>
    <row r="60" spans="1:26" s="107" customFormat="1" hidden="1" x14ac:dyDescent="0.25">
      <c r="A60" s="114"/>
      <c r="B60" s="110"/>
      <c r="C60" s="386"/>
      <c r="D60" s="383"/>
      <c r="E60" s="382"/>
      <c r="F60" s="385">
        <v>0</v>
      </c>
      <c r="G60" s="326">
        <f>F60*C4</f>
        <v>0</v>
      </c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  <c r="T60" s="326"/>
      <c r="U60" s="326"/>
      <c r="V60" s="326"/>
      <c r="W60" s="39"/>
      <c r="X60" s="39"/>
      <c r="Y60" s="39"/>
      <c r="Z60" s="39"/>
    </row>
    <row r="61" spans="1:26" s="107" customFormat="1" hidden="1" x14ac:dyDescent="0.25">
      <c r="A61" s="103"/>
      <c r="B61" s="108" t="s">
        <v>173</v>
      </c>
      <c r="C61" s="384"/>
      <c r="D61" s="383"/>
      <c r="E61" s="382"/>
      <c r="F61" s="371">
        <f>SUM(F51:F60)</f>
        <v>0</v>
      </c>
      <c r="G61" s="326">
        <f>SUM(G51:G60)</f>
        <v>0</v>
      </c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  <c r="T61" s="326"/>
      <c r="U61" s="326"/>
      <c r="V61" s="326"/>
      <c r="W61" s="39"/>
      <c r="X61" s="39"/>
      <c r="Y61" s="39"/>
      <c r="Z61" s="39"/>
    </row>
    <row r="62" spans="1:26" s="107" customFormat="1" hidden="1" x14ac:dyDescent="0.25">
      <c r="A62" s="103"/>
      <c r="B62" s="39"/>
      <c r="C62" s="384"/>
      <c r="D62" s="383"/>
      <c r="E62" s="382"/>
      <c r="F62" s="320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9"/>
      <c r="X62" s="39"/>
      <c r="Y62" s="39"/>
      <c r="Z62" s="39"/>
    </row>
    <row r="63" spans="1:26" s="107" customFormat="1" hidden="1" x14ac:dyDescent="0.25">
      <c r="A63" s="103" t="s">
        <v>22</v>
      </c>
      <c r="B63" s="39"/>
      <c r="C63" s="384"/>
      <c r="D63" s="383"/>
      <c r="E63" s="382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9"/>
      <c r="X63" s="39"/>
      <c r="Y63" s="39"/>
      <c r="Z63" s="39"/>
    </row>
    <row r="64" spans="1:26" s="107" customFormat="1" hidden="1" x14ac:dyDescent="0.25">
      <c r="A64" s="103" t="s">
        <v>32</v>
      </c>
      <c r="B64" s="108" t="s">
        <v>33</v>
      </c>
      <c r="C64" s="384" t="s">
        <v>174</v>
      </c>
      <c r="D64" s="383"/>
      <c r="E64" s="382"/>
      <c r="F64" s="320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9"/>
      <c r="X64" s="39"/>
      <c r="Y64" s="39"/>
      <c r="Z64" s="39"/>
    </row>
    <row r="65" spans="1:26" s="107" customFormat="1" hidden="1" x14ac:dyDescent="0.25">
      <c r="A65" s="114"/>
      <c r="B65" s="110"/>
      <c r="C65" s="386"/>
      <c r="D65" s="383"/>
      <c r="E65" s="382"/>
      <c r="F65" s="385">
        <v>0</v>
      </c>
      <c r="G65" s="326">
        <f>F65*C4</f>
        <v>0</v>
      </c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  <c r="T65" s="326"/>
      <c r="U65" s="326"/>
      <c r="V65" s="326"/>
      <c r="W65" s="39"/>
      <c r="X65" s="39"/>
      <c r="Y65" s="39"/>
      <c r="Z65" s="39"/>
    </row>
    <row r="66" spans="1:26" s="107" customFormat="1" hidden="1" x14ac:dyDescent="0.25">
      <c r="A66" s="114"/>
      <c r="B66" s="110"/>
      <c r="C66" s="386"/>
      <c r="D66" s="383"/>
      <c r="E66" s="382"/>
      <c r="F66" s="385">
        <v>0</v>
      </c>
      <c r="G66" s="326">
        <f>F66*C4</f>
        <v>0</v>
      </c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  <c r="T66" s="326"/>
      <c r="U66" s="326"/>
      <c r="V66" s="326"/>
      <c r="W66" s="39"/>
      <c r="X66" s="39"/>
      <c r="Y66" s="39"/>
      <c r="Z66" s="39"/>
    </row>
    <row r="67" spans="1:26" s="107" customFormat="1" hidden="1" x14ac:dyDescent="0.25">
      <c r="A67" s="114"/>
      <c r="B67" s="110"/>
      <c r="C67" s="386"/>
      <c r="D67" s="383"/>
      <c r="E67" s="382"/>
      <c r="F67" s="385">
        <v>0</v>
      </c>
      <c r="G67" s="326">
        <f>F67*C4</f>
        <v>0</v>
      </c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9"/>
      <c r="X67" s="39"/>
      <c r="Y67" s="39"/>
      <c r="Z67" s="39"/>
    </row>
    <row r="68" spans="1:26" s="107" customFormat="1" hidden="1" x14ac:dyDescent="0.25">
      <c r="A68" s="114"/>
      <c r="B68" s="110"/>
      <c r="C68" s="386"/>
      <c r="D68" s="383"/>
      <c r="E68" s="382"/>
      <c r="F68" s="385">
        <v>0</v>
      </c>
      <c r="G68" s="326">
        <f>F68*C4</f>
        <v>0</v>
      </c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  <c r="T68" s="326"/>
      <c r="U68" s="326"/>
      <c r="V68" s="326"/>
      <c r="W68" s="39"/>
      <c r="X68" s="39"/>
      <c r="Y68" s="39"/>
      <c r="Z68" s="39"/>
    </row>
    <row r="69" spans="1:26" s="107" customFormat="1" hidden="1" x14ac:dyDescent="0.25">
      <c r="A69" s="114"/>
      <c r="B69" s="110"/>
      <c r="C69" s="386"/>
      <c r="D69" s="383"/>
      <c r="E69" s="382"/>
      <c r="F69" s="385">
        <v>0</v>
      </c>
      <c r="G69" s="326">
        <f>F69*C4</f>
        <v>0</v>
      </c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  <c r="T69" s="326"/>
      <c r="U69" s="326"/>
      <c r="V69" s="326"/>
      <c r="W69" s="39"/>
      <c r="X69" s="39"/>
      <c r="Y69" s="39"/>
      <c r="Z69" s="39"/>
    </row>
    <row r="70" spans="1:26" s="107" customFormat="1" hidden="1" x14ac:dyDescent="0.25">
      <c r="A70" s="114"/>
      <c r="B70" s="110"/>
      <c r="C70" s="386"/>
      <c r="D70" s="383"/>
      <c r="E70" s="382"/>
      <c r="F70" s="385">
        <v>0</v>
      </c>
      <c r="G70" s="326">
        <f>F70*C4</f>
        <v>0</v>
      </c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9"/>
      <c r="X70" s="39"/>
      <c r="Y70" s="39"/>
      <c r="Z70" s="39"/>
    </row>
    <row r="71" spans="1:26" s="107" customFormat="1" hidden="1" x14ac:dyDescent="0.25">
      <c r="A71" s="114"/>
      <c r="B71" s="110"/>
      <c r="C71" s="386"/>
      <c r="D71" s="383"/>
      <c r="E71" s="382"/>
      <c r="F71" s="385">
        <v>0</v>
      </c>
      <c r="G71" s="326">
        <f>F71*C4</f>
        <v>0</v>
      </c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  <c r="T71" s="326"/>
      <c r="U71" s="326"/>
      <c r="V71" s="326"/>
      <c r="W71" s="39"/>
      <c r="X71" s="39"/>
      <c r="Y71" s="39"/>
      <c r="Z71" s="39"/>
    </row>
    <row r="72" spans="1:26" s="107" customFormat="1" hidden="1" x14ac:dyDescent="0.25">
      <c r="A72" s="114"/>
      <c r="B72" s="110"/>
      <c r="C72" s="386"/>
      <c r="D72" s="383"/>
      <c r="E72" s="382"/>
      <c r="F72" s="385">
        <v>0</v>
      </c>
      <c r="G72" s="326">
        <f>F72*C4</f>
        <v>0</v>
      </c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  <c r="T72" s="326"/>
      <c r="U72" s="326"/>
      <c r="V72" s="326"/>
      <c r="W72" s="39"/>
      <c r="X72" s="39"/>
      <c r="Y72" s="39"/>
      <c r="Z72" s="39"/>
    </row>
    <row r="73" spans="1:26" s="107" customFormat="1" hidden="1" x14ac:dyDescent="0.25">
      <c r="A73" s="114"/>
      <c r="B73" s="110"/>
      <c r="C73" s="386"/>
      <c r="D73" s="383"/>
      <c r="E73" s="382"/>
      <c r="F73" s="385">
        <v>0</v>
      </c>
      <c r="G73" s="326">
        <f>F73*C4</f>
        <v>0</v>
      </c>
      <c r="H73" s="326"/>
      <c r="I73" s="326"/>
      <c r="J73" s="326"/>
      <c r="K73" s="326"/>
      <c r="L73" s="326"/>
      <c r="M73" s="326"/>
      <c r="N73" s="326"/>
      <c r="O73" s="326"/>
      <c r="P73" s="326"/>
      <c r="Q73" s="326"/>
      <c r="R73" s="326"/>
      <c r="S73" s="326"/>
      <c r="T73" s="326"/>
      <c r="U73" s="326"/>
      <c r="V73" s="326"/>
      <c r="W73" s="39"/>
      <c r="X73" s="39"/>
      <c r="Y73" s="39"/>
      <c r="Z73" s="39"/>
    </row>
    <row r="74" spans="1:26" s="107" customFormat="1" hidden="1" x14ac:dyDescent="0.25">
      <c r="A74" s="114"/>
      <c r="B74" s="110"/>
      <c r="C74" s="386"/>
      <c r="D74" s="383"/>
      <c r="E74" s="382"/>
      <c r="F74" s="385">
        <v>0</v>
      </c>
      <c r="G74" s="326">
        <f>F74*C4</f>
        <v>0</v>
      </c>
      <c r="H74" s="326"/>
      <c r="I74" s="326"/>
      <c r="J74" s="326"/>
      <c r="K74" s="326"/>
      <c r="L74" s="326"/>
      <c r="M74" s="326"/>
      <c r="N74" s="326"/>
      <c r="O74" s="326"/>
      <c r="P74" s="326"/>
      <c r="Q74" s="326"/>
      <c r="R74" s="326"/>
      <c r="S74" s="326"/>
      <c r="T74" s="326"/>
      <c r="U74" s="326"/>
      <c r="V74" s="326"/>
      <c r="W74" s="39"/>
      <c r="X74" s="39"/>
      <c r="Y74" s="39"/>
      <c r="Z74" s="39"/>
    </row>
    <row r="75" spans="1:26" s="107" customFormat="1" hidden="1" x14ac:dyDescent="0.25">
      <c r="A75" s="103"/>
      <c r="B75" s="108" t="s">
        <v>173</v>
      </c>
      <c r="C75" s="384"/>
      <c r="D75" s="383"/>
      <c r="E75" s="382"/>
      <c r="F75" s="371">
        <f>SUM(F65:F74)</f>
        <v>0</v>
      </c>
      <c r="G75" s="326">
        <f>SUM(G65:G74)</f>
        <v>0</v>
      </c>
      <c r="H75" s="326"/>
      <c r="I75" s="326"/>
      <c r="J75" s="326"/>
      <c r="K75" s="326"/>
      <c r="L75" s="326"/>
      <c r="M75" s="326"/>
      <c r="N75" s="326"/>
      <c r="O75" s="326"/>
      <c r="P75" s="326"/>
      <c r="Q75" s="326"/>
      <c r="R75" s="326"/>
      <c r="S75" s="326"/>
      <c r="T75" s="326"/>
      <c r="U75" s="326"/>
      <c r="V75" s="326"/>
      <c r="W75" s="39"/>
      <c r="X75" s="39"/>
      <c r="Y75" s="39"/>
      <c r="Z75" s="39"/>
    </row>
    <row r="76" spans="1:26" s="107" customFormat="1" hidden="1" x14ac:dyDescent="0.25">
      <c r="A76" s="103"/>
      <c r="B76" s="39"/>
      <c r="C76" s="384"/>
      <c r="D76" s="383"/>
      <c r="E76" s="382"/>
      <c r="F76" s="320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s="107" customFormat="1" ht="13.8" hidden="1" thickBot="1" x14ac:dyDescent="0.3">
      <c r="A77" s="117" t="s">
        <v>3</v>
      </c>
      <c r="B77" s="117"/>
      <c r="C77" s="282"/>
      <c r="D77" s="381"/>
      <c r="E77" s="380"/>
      <c r="F77" s="279">
        <f>SUM(F32+F46+F47+F61+F75)</f>
        <v>0</v>
      </c>
      <c r="G77" s="279">
        <f>SUM(G32+G46+G47+G61+G75)</f>
        <v>0</v>
      </c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39"/>
      <c r="X77" s="39"/>
      <c r="Y77" s="39"/>
      <c r="Z77" s="39"/>
    </row>
    <row r="78" spans="1:26" s="107" customFormat="1" x14ac:dyDescent="0.25">
      <c r="A78" s="103"/>
      <c r="B78" s="103"/>
      <c r="C78" s="294"/>
      <c r="D78" s="379"/>
      <c r="E78" s="378"/>
      <c r="F78" s="377"/>
      <c r="G78" s="377"/>
      <c r="H78" s="377"/>
      <c r="I78" s="377"/>
      <c r="J78" s="377"/>
      <c r="K78" s="377"/>
      <c r="L78" s="377"/>
      <c r="M78" s="377"/>
      <c r="N78" s="377"/>
      <c r="O78" s="377"/>
      <c r="P78" s="377"/>
      <c r="Q78" s="377"/>
      <c r="R78" s="377"/>
      <c r="S78" s="377"/>
      <c r="T78" s="377"/>
      <c r="U78" s="377"/>
      <c r="V78" s="377"/>
      <c r="W78" s="39"/>
      <c r="X78" s="39"/>
      <c r="Y78" s="39"/>
      <c r="Z78" s="39"/>
    </row>
    <row r="79" spans="1:26" s="39" customFormat="1" ht="13.8" thickBot="1" x14ac:dyDescent="0.3">
      <c r="A79" s="74" t="s">
        <v>6</v>
      </c>
      <c r="B79" s="103"/>
      <c r="C79" s="294"/>
      <c r="D79" s="293"/>
      <c r="E79" s="292"/>
      <c r="F79" s="320"/>
    </row>
    <row r="80" spans="1:26" ht="13.8" thickBot="1" x14ac:dyDescent="0.3">
      <c r="A80" s="35"/>
      <c r="B80" s="74" t="s">
        <v>306</v>
      </c>
      <c r="C80" s="358" t="s">
        <v>30</v>
      </c>
      <c r="D80" s="357" t="s">
        <v>31</v>
      </c>
      <c r="E80" s="376" t="s">
        <v>0</v>
      </c>
      <c r="F80" s="374" t="s">
        <v>69</v>
      </c>
      <c r="G80" s="374" t="s">
        <v>69</v>
      </c>
      <c r="H80" s="847" t="s">
        <v>185</v>
      </c>
      <c r="I80" s="848"/>
      <c r="J80" s="848"/>
      <c r="K80" s="848"/>
      <c r="L80" s="848"/>
      <c r="M80" s="848"/>
      <c r="N80" s="848"/>
      <c r="O80" s="848"/>
      <c r="P80" s="848"/>
      <c r="Q80" s="849"/>
      <c r="R80" s="374" t="s">
        <v>302</v>
      </c>
      <c r="S80" s="374" t="s">
        <v>303</v>
      </c>
      <c r="T80" s="374" t="s">
        <v>303</v>
      </c>
      <c r="U80" s="374" t="s">
        <v>302</v>
      </c>
      <c r="V80" s="374" t="s">
        <v>303</v>
      </c>
      <c r="W80" s="91" t="s">
        <v>303</v>
      </c>
      <c r="X80" s="91" t="s">
        <v>305</v>
      </c>
    </row>
    <row r="81" spans="1:24" ht="13.8" thickBot="1" x14ac:dyDescent="0.3">
      <c r="A81" s="35"/>
      <c r="B81" s="74"/>
      <c r="C81" s="358"/>
      <c r="D81" s="357"/>
      <c r="E81" s="376"/>
      <c r="F81" s="374" t="s">
        <v>5</v>
      </c>
      <c r="G81" s="374" t="s">
        <v>5</v>
      </c>
      <c r="H81" s="375" t="s">
        <v>175</v>
      </c>
      <c r="I81" s="375" t="s">
        <v>176</v>
      </c>
      <c r="J81" s="375" t="s">
        <v>177</v>
      </c>
      <c r="K81" s="375" t="s">
        <v>178</v>
      </c>
      <c r="L81" s="375" t="s">
        <v>179</v>
      </c>
      <c r="M81" s="375" t="s">
        <v>180</v>
      </c>
      <c r="N81" s="375" t="s">
        <v>181</v>
      </c>
      <c r="O81" s="375" t="s">
        <v>182</v>
      </c>
      <c r="P81" s="375" t="s">
        <v>183</v>
      </c>
      <c r="Q81" s="375" t="s">
        <v>184</v>
      </c>
      <c r="R81" s="356"/>
      <c r="S81" s="374"/>
      <c r="T81" s="374"/>
      <c r="U81" s="374"/>
      <c r="V81" s="374"/>
      <c r="W81" s="88"/>
      <c r="X81" s="88"/>
    </row>
    <row r="82" spans="1:24" x14ac:dyDescent="0.25">
      <c r="B82" s="74"/>
      <c r="C82" s="358" t="s">
        <v>1</v>
      </c>
      <c r="D82" s="357" t="s">
        <v>2</v>
      </c>
      <c r="E82" s="397" t="s">
        <v>397</v>
      </c>
      <c r="F82" s="397" t="s">
        <v>397</v>
      </c>
      <c r="G82" s="91" t="s">
        <v>4</v>
      </c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356" t="s">
        <v>20</v>
      </c>
      <c r="S82" s="356" t="s">
        <v>20</v>
      </c>
      <c r="T82" s="219" t="s">
        <v>304</v>
      </c>
      <c r="U82" s="219" t="s">
        <v>4</v>
      </c>
      <c r="V82" s="219" t="s">
        <v>4</v>
      </c>
      <c r="W82" s="91" t="s">
        <v>304</v>
      </c>
      <c r="X82" s="91"/>
    </row>
    <row r="83" spans="1:24" x14ac:dyDescent="0.25">
      <c r="A83" s="74" t="s">
        <v>83</v>
      </c>
      <c r="B83" s="74"/>
      <c r="C83" s="358"/>
      <c r="D83" s="357"/>
      <c r="E83" s="356"/>
      <c r="F83" s="356"/>
      <c r="G83" s="91"/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20"/>
      <c r="S83" s="220"/>
      <c r="T83" s="220"/>
      <c r="U83" s="220"/>
      <c r="V83" s="220"/>
      <c r="W83" s="220"/>
      <c r="X83" s="220"/>
    </row>
    <row r="84" spans="1:24" x14ac:dyDescent="0.25">
      <c r="A84" s="129">
        <v>1</v>
      </c>
      <c r="B84" s="130" t="s">
        <v>84</v>
      </c>
      <c r="C84" s="329"/>
      <c r="D84" s="328"/>
      <c r="E84" s="327"/>
      <c r="F84" s="373"/>
      <c r="G84" s="137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21"/>
      <c r="S84" s="221"/>
      <c r="T84" s="221"/>
      <c r="U84" s="221"/>
      <c r="V84" s="221"/>
      <c r="W84" s="221"/>
      <c r="X84" s="221"/>
    </row>
    <row r="85" spans="1:24" x14ac:dyDescent="0.25">
      <c r="A85" s="200">
        <v>1.1000000000000001</v>
      </c>
      <c r="B85" s="113" t="s">
        <v>87</v>
      </c>
      <c r="C85" s="310"/>
      <c r="D85" s="339"/>
      <c r="E85" s="338"/>
      <c r="F85" s="372">
        <f>D85*E85</f>
        <v>0</v>
      </c>
      <c r="G85" s="32">
        <f>F85*C4</f>
        <v>0</v>
      </c>
      <c r="H85" s="240"/>
      <c r="I85" s="240"/>
      <c r="J85" s="240"/>
      <c r="K85" s="240"/>
      <c r="L85" s="240"/>
      <c r="M85" s="240"/>
      <c r="N85" s="240"/>
      <c r="O85" s="240"/>
      <c r="P85" s="240"/>
      <c r="Q85" s="249"/>
      <c r="R85" s="263"/>
      <c r="S85" s="222">
        <f>R85-F85</f>
        <v>0</v>
      </c>
      <c r="T85" s="228">
        <f>IF(F85=0,0,S85/F85)</f>
        <v>0</v>
      </c>
      <c r="U85" s="222">
        <f>R85*$C$4</f>
        <v>0</v>
      </c>
      <c r="V85" s="222">
        <f>U85-G85</f>
        <v>0</v>
      </c>
      <c r="W85" s="228">
        <f>IF(G85=0,0,V85/G85)</f>
        <v>0</v>
      </c>
      <c r="X85" s="228"/>
    </row>
    <row r="86" spans="1:24" x14ac:dyDescent="0.25">
      <c r="A86" s="103" t="s">
        <v>110</v>
      </c>
      <c r="B86" s="113"/>
      <c r="C86" s="371"/>
      <c r="D86" s="370"/>
      <c r="E86" s="320"/>
      <c r="F86" s="320"/>
      <c r="G86" s="32"/>
      <c r="H86" s="239"/>
      <c r="I86" s="239"/>
      <c r="J86" s="239"/>
      <c r="K86" s="239"/>
      <c r="L86" s="239"/>
      <c r="M86" s="239"/>
      <c r="N86" s="239"/>
      <c r="O86" s="239"/>
      <c r="P86" s="239"/>
      <c r="Q86" s="250"/>
      <c r="R86" s="255"/>
      <c r="S86" s="222"/>
      <c r="T86" s="228"/>
      <c r="U86" s="222"/>
      <c r="V86" s="222"/>
      <c r="W86" s="228"/>
      <c r="X86" s="228"/>
    </row>
    <row r="87" spans="1:24" hidden="1" x14ac:dyDescent="0.25">
      <c r="A87" s="140" t="s">
        <v>86</v>
      </c>
      <c r="B87" s="206"/>
      <c r="C87" s="310"/>
      <c r="D87" s="339"/>
      <c r="E87" s="338"/>
      <c r="F87" s="369">
        <f t="shared" ref="F87:F92" si="0">D87*E87</f>
        <v>0</v>
      </c>
      <c r="G87" s="32">
        <f>F87*C4</f>
        <v>0</v>
      </c>
      <c r="H87" s="239"/>
      <c r="I87" s="239"/>
      <c r="J87" s="239"/>
      <c r="K87" s="239"/>
      <c r="L87" s="239"/>
      <c r="M87" s="239"/>
      <c r="N87" s="239"/>
      <c r="O87" s="239"/>
      <c r="P87" s="239"/>
      <c r="Q87" s="250"/>
      <c r="R87" s="261"/>
      <c r="S87" s="222">
        <f t="shared" ref="S87:S151" si="1">R87-F87</f>
        <v>0</v>
      </c>
      <c r="T87" s="228">
        <f t="shared" ref="T87:T151" si="2">IF(F87=0,0,S87/F87)</f>
        <v>0</v>
      </c>
      <c r="U87" s="222">
        <f t="shared" ref="U87:U151" si="3">R87*$C$4</f>
        <v>0</v>
      </c>
      <c r="V87" s="222">
        <f t="shared" ref="V87:V151" si="4">U87-G87</f>
        <v>0</v>
      </c>
      <c r="W87" s="228">
        <f t="shared" ref="W87:W151" si="5">IF(G87=0,0,V87/G87)</f>
        <v>0</v>
      </c>
      <c r="X87" s="228"/>
    </row>
    <row r="88" spans="1:24" hidden="1" x14ac:dyDescent="0.25">
      <c r="A88" s="143" t="s">
        <v>89</v>
      </c>
      <c r="B88" s="46"/>
      <c r="C88" s="310"/>
      <c r="D88" s="339"/>
      <c r="E88" s="338"/>
      <c r="F88" s="369">
        <f t="shared" si="0"/>
        <v>0</v>
      </c>
      <c r="G88" s="32">
        <f>F88*C4</f>
        <v>0</v>
      </c>
      <c r="H88" s="239"/>
      <c r="I88" s="239"/>
      <c r="J88" s="239"/>
      <c r="K88" s="239"/>
      <c r="L88" s="239"/>
      <c r="M88" s="239"/>
      <c r="N88" s="239"/>
      <c r="O88" s="239"/>
      <c r="P88" s="239"/>
      <c r="Q88" s="250"/>
      <c r="R88" s="261"/>
      <c r="S88" s="222">
        <f t="shared" si="1"/>
        <v>0</v>
      </c>
      <c r="T88" s="228">
        <f t="shared" si="2"/>
        <v>0</v>
      </c>
      <c r="U88" s="222">
        <f t="shared" si="3"/>
        <v>0</v>
      </c>
      <c r="V88" s="222">
        <f t="shared" si="4"/>
        <v>0</v>
      </c>
      <c r="W88" s="228">
        <f t="shared" si="5"/>
        <v>0</v>
      </c>
      <c r="X88" s="228"/>
    </row>
    <row r="89" spans="1:24" hidden="1" x14ac:dyDescent="0.25">
      <c r="A89" s="143" t="s">
        <v>90</v>
      </c>
      <c r="B89" s="46"/>
      <c r="C89" s="310"/>
      <c r="D89" s="339"/>
      <c r="E89" s="338"/>
      <c r="F89" s="369">
        <f t="shared" si="0"/>
        <v>0</v>
      </c>
      <c r="G89" s="32">
        <f>F89*C4</f>
        <v>0</v>
      </c>
      <c r="H89" s="239"/>
      <c r="I89" s="239"/>
      <c r="J89" s="239"/>
      <c r="K89" s="239"/>
      <c r="L89" s="239"/>
      <c r="M89" s="239"/>
      <c r="N89" s="239"/>
      <c r="O89" s="239"/>
      <c r="P89" s="239"/>
      <c r="Q89" s="250"/>
      <c r="R89" s="261"/>
      <c r="S89" s="222">
        <f t="shared" si="1"/>
        <v>0</v>
      </c>
      <c r="T89" s="228">
        <f t="shared" si="2"/>
        <v>0</v>
      </c>
      <c r="U89" s="222">
        <f t="shared" si="3"/>
        <v>0</v>
      </c>
      <c r="V89" s="222">
        <f t="shared" si="4"/>
        <v>0</v>
      </c>
      <c r="W89" s="228">
        <f t="shared" si="5"/>
        <v>0</v>
      </c>
      <c r="X89" s="228"/>
    </row>
    <row r="90" spans="1:24" hidden="1" x14ac:dyDescent="0.25">
      <c r="A90" s="143" t="s">
        <v>91</v>
      </c>
      <c r="B90" s="46"/>
      <c r="C90" s="310"/>
      <c r="D90" s="339"/>
      <c r="E90" s="338"/>
      <c r="F90" s="369">
        <f t="shared" si="0"/>
        <v>0</v>
      </c>
      <c r="G90" s="32">
        <f>F90*C4</f>
        <v>0</v>
      </c>
      <c r="H90" s="239"/>
      <c r="I90" s="239"/>
      <c r="J90" s="239"/>
      <c r="K90" s="239"/>
      <c r="L90" s="239"/>
      <c r="M90" s="239"/>
      <c r="N90" s="239"/>
      <c r="O90" s="239"/>
      <c r="P90" s="239"/>
      <c r="Q90" s="250"/>
      <c r="R90" s="261"/>
      <c r="S90" s="222">
        <f t="shared" si="1"/>
        <v>0</v>
      </c>
      <c r="T90" s="228">
        <f t="shared" si="2"/>
        <v>0</v>
      </c>
      <c r="U90" s="222">
        <f t="shared" si="3"/>
        <v>0</v>
      </c>
      <c r="V90" s="222">
        <f t="shared" si="4"/>
        <v>0</v>
      </c>
      <c r="W90" s="228">
        <f t="shared" si="5"/>
        <v>0</v>
      </c>
      <c r="X90" s="228"/>
    </row>
    <row r="91" spans="1:24" hidden="1" x14ac:dyDescent="0.25">
      <c r="A91" s="143" t="s">
        <v>92</v>
      </c>
      <c r="B91" s="46"/>
      <c r="C91" s="310"/>
      <c r="D91" s="339"/>
      <c r="E91" s="338"/>
      <c r="F91" s="369">
        <f t="shared" si="0"/>
        <v>0</v>
      </c>
      <c r="G91" s="32">
        <f>F91*C4</f>
        <v>0</v>
      </c>
      <c r="H91" s="239"/>
      <c r="I91" s="239"/>
      <c r="J91" s="239"/>
      <c r="K91" s="239"/>
      <c r="L91" s="239"/>
      <c r="M91" s="239"/>
      <c r="N91" s="239"/>
      <c r="O91" s="239"/>
      <c r="P91" s="239"/>
      <c r="Q91" s="250"/>
      <c r="R91" s="261"/>
      <c r="S91" s="222">
        <f t="shared" si="1"/>
        <v>0</v>
      </c>
      <c r="T91" s="228">
        <f t="shared" si="2"/>
        <v>0</v>
      </c>
      <c r="U91" s="222">
        <f t="shared" si="3"/>
        <v>0</v>
      </c>
      <c r="V91" s="222">
        <f t="shared" si="4"/>
        <v>0</v>
      </c>
      <c r="W91" s="228">
        <f t="shared" si="5"/>
        <v>0</v>
      </c>
      <c r="X91" s="228"/>
    </row>
    <row r="92" spans="1:24" hidden="1" x14ac:dyDescent="0.25">
      <c r="A92" s="143" t="s">
        <v>93</v>
      </c>
      <c r="B92" s="46"/>
      <c r="C92" s="310"/>
      <c r="D92" s="339"/>
      <c r="E92" s="338"/>
      <c r="F92" s="369">
        <f t="shared" si="0"/>
        <v>0</v>
      </c>
      <c r="G92" s="32">
        <f>F92*C4</f>
        <v>0</v>
      </c>
      <c r="H92" s="239"/>
      <c r="I92" s="239"/>
      <c r="J92" s="239"/>
      <c r="K92" s="239"/>
      <c r="L92" s="239"/>
      <c r="M92" s="239"/>
      <c r="N92" s="239"/>
      <c r="O92" s="239"/>
      <c r="P92" s="239"/>
      <c r="Q92" s="250"/>
      <c r="R92" s="261"/>
      <c r="S92" s="222">
        <f t="shared" si="1"/>
        <v>0</v>
      </c>
      <c r="T92" s="228">
        <f t="shared" si="2"/>
        <v>0</v>
      </c>
      <c r="U92" s="222">
        <f t="shared" si="3"/>
        <v>0</v>
      </c>
      <c r="V92" s="222">
        <f t="shared" si="4"/>
        <v>0</v>
      </c>
      <c r="W92" s="228">
        <f t="shared" si="5"/>
        <v>0</v>
      </c>
      <c r="X92" s="228"/>
    </row>
    <row r="93" spans="1:24" x14ac:dyDescent="0.25">
      <c r="A93" s="145"/>
      <c r="B93" s="144"/>
      <c r="C93" s="368"/>
      <c r="D93" s="367"/>
      <c r="E93" s="366"/>
      <c r="F93" s="276"/>
      <c r="H93" s="239"/>
      <c r="I93" s="239"/>
      <c r="J93" s="239"/>
      <c r="K93" s="239"/>
      <c r="L93" s="239"/>
      <c r="M93" s="239"/>
      <c r="N93" s="239"/>
      <c r="O93" s="239"/>
      <c r="P93" s="239"/>
      <c r="Q93" s="250"/>
      <c r="R93" s="256"/>
      <c r="S93" s="222"/>
      <c r="T93" s="228"/>
      <c r="U93" s="222"/>
      <c r="V93" s="222"/>
      <c r="W93" s="228"/>
      <c r="X93" s="228"/>
    </row>
    <row r="94" spans="1:24" x14ac:dyDescent="0.25">
      <c r="A94" s="103" t="s">
        <v>111</v>
      </c>
      <c r="C94" s="326"/>
      <c r="D94" s="325"/>
      <c r="E94" s="324"/>
      <c r="F94" s="276"/>
      <c r="H94" s="239"/>
      <c r="I94" s="239"/>
      <c r="J94" s="239"/>
      <c r="K94" s="239"/>
      <c r="L94" s="239"/>
      <c r="M94" s="239"/>
      <c r="N94" s="239"/>
      <c r="O94" s="239"/>
      <c r="P94" s="239"/>
      <c r="Q94" s="250"/>
      <c r="R94" s="256"/>
      <c r="S94" s="222"/>
      <c r="T94" s="228"/>
      <c r="U94" s="222"/>
      <c r="V94" s="222"/>
      <c r="W94" s="228"/>
      <c r="X94" s="228"/>
    </row>
    <row r="95" spans="1:24" x14ac:dyDescent="0.25">
      <c r="A95" s="81" t="s">
        <v>88</v>
      </c>
      <c r="B95" s="46" t="s">
        <v>398</v>
      </c>
      <c r="C95" s="310" t="s">
        <v>399</v>
      </c>
      <c r="D95" s="339">
        <v>12</v>
      </c>
      <c r="E95" s="338">
        <v>2500000</v>
      </c>
      <c r="F95" s="276">
        <f>D95*E95</f>
        <v>30000000</v>
      </c>
      <c r="G95" s="35">
        <f>F95/1500</f>
        <v>20000</v>
      </c>
      <c r="H95" s="239"/>
      <c r="I95" s="239"/>
      <c r="J95" s="239"/>
      <c r="K95" s="239"/>
      <c r="L95" s="239"/>
      <c r="M95" s="239"/>
      <c r="N95" s="239"/>
      <c r="O95" s="239"/>
      <c r="P95" s="239"/>
      <c r="Q95" s="250"/>
      <c r="R95" s="261"/>
      <c r="S95" s="222">
        <f t="shared" si="1"/>
        <v>-30000000</v>
      </c>
      <c r="T95" s="228">
        <f t="shared" si="2"/>
        <v>-1</v>
      </c>
      <c r="U95" s="222">
        <f t="shared" si="3"/>
        <v>0</v>
      </c>
      <c r="V95" s="222">
        <f t="shared" si="4"/>
        <v>-20000</v>
      </c>
      <c r="W95" s="228">
        <f t="shared" si="5"/>
        <v>-1</v>
      </c>
      <c r="X95" s="228"/>
    </row>
    <row r="96" spans="1:24" x14ac:dyDescent="0.25">
      <c r="A96" s="148" t="s">
        <v>94</v>
      </c>
      <c r="B96" s="46" t="s">
        <v>400</v>
      </c>
      <c r="C96" s="310" t="s">
        <v>399</v>
      </c>
      <c r="D96" s="339">
        <v>12</v>
      </c>
      <c r="E96" s="338"/>
      <c r="F96" s="276"/>
      <c r="G96" s="35">
        <f>F96/1500</f>
        <v>0</v>
      </c>
      <c r="H96" s="239"/>
      <c r="I96" s="239"/>
      <c r="J96" s="239"/>
      <c r="K96" s="239"/>
      <c r="L96" s="239"/>
      <c r="M96" s="239"/>
      <c r="N96" s="239"/>
      <c r="O96" s="239"/>
      <c r="P96" s="239"/>
      <c r="Q96" s="250"/>
      <c r="R96" s="261"/>
      <c r="S96" s="222">
        <f t="shared" si="1"/>
        <v>0</v>
      </c>
      <c r="T96" s="228">
        <f t="shared" si="2"/>
        <v>0</v>
      </c>
      <c r="U96" s="222">
        <f t="shared" si="3"/>
        <v>0</v>
      </c>
      <c r="V96" s="222">
        <f t="shared" si="4"/>
        <v>0</v>
      </c>
      <c r="W96" s="228">
        <f t="shared" si="5"/>
        <v>0</v>
      </c>
      <c r="X96" s="228"/>
    </row>
    <row r="97" spans="1:24" x14ac:dyDescent="0.25">
      <c r="A97" s="148" t="s">
        <v>95</v>
      </c>
      <c r="B97" s="46" t="s">
        <v>401</v>
      </c>
      <c r="C97" s="310" t="s">
        <v>399</v>
      </c>
      <c r="D97" s="339">
        <v>12</v>
      </c>
      <c r="E97" s="338">
        <v>1500000</v>
      </c>
      <c r="F97" s="276">
        <f>D97*E97</f>
        <v>18000000</v>
      </c>
      <c r="G97" s="35">
        <f>F97/1500</f>
        <v>12000</v>
      </c>
      <c r="H97" s="239"/>
      <c r="I97" s="239"/>
      <c r="J97" s="239"/>
      <c r="K97" s="239"/>
      <c r="L97" s="239"/>
      <c r="M97" s="239"/>
      <c r="N97" s="239"/>
      <c r="O97" s="239"/>
      <c r="P97" s="239"/>
      <c r="Q97" s="250"/>
      <c r="R97" s="261"/>
      <c r="S97" s="222">
        <f t="shared" si="1"/>
        <v>-18000000</v>
      </c>
      <c r="T97" s="228">
        <f t="shared" si="2"/>
        <v>-1</v>
      </c>
      <c r="U97" s="222">
        <f t="shared" si="3"/>
        <v>0</v>
      </c>
      <c r="V97" s="222">
        <f t="shared" si="4"/>
        <v>-12000</v>
      </c>
      <c r="W97" s="228">
        <f t="shared" si="5"/>
        <v>-1</v>
      </c>
      <c r="X97" s="228"/>
    </row>
    <row r="98" spans="1:24" x14ac:dyDescent="0.25">
      <c r="A98" s="148" t="s">
        <v>96</v>
      </c>
      <c r="B98" s="46" t="s">
        <v>402</v>
      </c>
      <c r="C98" s="310" t="s">
        <v>399</v>
      </c>
      <c r="D98" s="339">
        <v>12</v>
      </c>
      <c r="E98" s="338"/>
      <c r="F98" s="276"/>
      <c r="H98" s="239"/>
      <c r="I98" s="239"/>
      <c r="J98" s="239"/>
      <c r="K98" s="239"/>
      <c r="L98" s="239"/>
      <c r="M98" s="239"/>
      <c r="N98" s="239"/>
      <c r="O98" s="239"/>
      <c r="P98" s="239"/>
      <c r="Q98" s="250"/>
      <c r="R98" s="261"/>
      <c r="S98" s="222">
        <f t="shared" si="1"/>
        <v>0</v>
      </c>
      <c r="T98" s="228">
        <f t="shared" si="2"/>
        <v>0</v>
      </c>
      <c r="U98" s="222">
        <f t="shared" si="3"/>
        <v>0</v>
      </c>
      <c r="V98" s="222">
        <f t="shared" si="4"/>
        <v>0</v>
      </c>
      <c r="W98" s="228">
        <f t="shared" si="5"/>
        <v>0</v>
      </c>
      <c r="X98" s="228"/>
    </row>
    <row r="99" spans="1:24" x14ac:dyDescent="0.25">
      <c r="A99" s="148" t="s">
        <v>97</v>
      </c>
      <c r="B99" s="46" t="s">
        <v>403</v>
      </c>
      <c r="C99" s="310" t="s">
        <v>399</v>
      </c>
      <c r="D99" s="339">
        <v>12</v>
      </c>
      <c r="E99" s="338">
        <v>600000</v>
      </c>
      <c r="F99" s="276">
        <f>D99*E99</f>
        <v>7200000</v>
      </c>
      <c r="G99" s="35">
        <f>F99/1500</f>
        <v>4800</v>
      </c>
      <c r="H99" s="239"/>
      <c r="I99" s="239"/>
      <c r="J99" s="239"/>
      <c r="K99" s="239"/>
      <c r="L99" s="239"/>
      <c r="M99" s="239"/>
      <c r="N99" s="239"/>
      <c r="O99" s="239"/>
      <c r="P99" s="239"/>
      <c r="Q99" s="250"/>
      <c r="R99" s="261"/>
      <c r="S99" s="222">
        <f t="shared" si="1"/>
        <v>-7200000</v>
      </c>
      <c r="T99" s="228">
        <f t="shared" si="2"/>
        <v>-1</v>
      </c>
      <c r="U99" s="222">
        <f t="shared" si="3"/>
        <v>0</v>
      </c>
      <c r="V99" s="222">
        <f t="shared" si="4"/>
        <v>-4800</v>
      </c>
      <c r="W99" s="228">
        <f t="shared" si="5"/>
        <v>-1</v>
      </c>
      <c r="X99" s="228"/>
    </row>
    <row r="100" spans="1:24" hidden="1" x14ac:dyDescent="0.25">
      <c r="A100" s="148" t="s">
        <v>98</v>
      </c>
      <c r="B100" s="46"/>
      <c r="C100" s="310"/>
      <c r="D100" s="339"/>
      <c r="E100" s="338"/>
      <c r="F100" s="276"/>
      <c r="H100" s="239"/>
      <c r="I100" s="239"/>
      <c r="J100" s="239"/>
      <c r="K100" s="239"/>
      <c r="L100" s="239"/>
      <c r="M100" s="239"/>
      <c r="N100" s="239"/>
      <c r="O100" s="239"/>
      <c r="P100" s="239"/>
      <c r="Q100" s="250"/>
      <c r="R100" s="261"/>
      <c r="S100" s="222">
        <f t="shared" si="1"/>
        <v>0</v>
      </c>
      <c r="T100" s="228">
        <f t="shared" si="2"/>
        <v>0</v>
      </c>
      <c r="U100" s="222">
        <f t="shared" si="3"/>
        <v>0</v>
      </c>
      <c r="V100" s="222">
        <f t="shared" si="4"/>
        <v>0</v>
      </c>
      <c r="W100" s="228">
        <f t="shared" si="5"/>
        <v>0</v>
      </c>
      <c r="X100" s="228"/>
    </row>
    <row r="101" spans="1:24" x14ac:dyDescent="0.25">
      <c r="A101" s="91"/>
      <c r="B101" s="149"/>
      <c r="C101" s="365"/>
      <c r="D101" s="364"/>
      <c r="E101" s="363"/>
      <c r="F101" s="276"/>
      <c r="G101" s="91"/>
      <c r="H101" s="238"/>
      <c r="I101" s="238"/>
      <c r="J101" s="238"/>
      <c r="K101" s="238"/>
      <c r="L101" s="238"/>
      <c r="M101" s="238"/>
      <c r="N101" s="238"/>
      <c r="O101" s="238"/>
      <c r="P101" s="238"/>
      <c r="Q101" s="251"/>
      <c r="R101" s="257"/>
      <c r="S101" s="222"/>
      <c r="T101" s="228"/>
      <c r="U101" s="222"/>
      <c r="V101" s="222"/>
      <c r="W101" s="228"/>
      <c r="X101" s="228"/>
    </row>
    <row r="102" spans="1:24" hidden="1" x14ac:dyDescent="0.25">
      <c r="A102" s="201"/>
      <c r="B102" s="202" t="s">
        <v>193</v>
      </c>
      <c r="C102" s="362"/>
      <c r="D102" s="361"/>
      <c r="E102" s="360"/>
      <c r="F102" s="359">
        <f>SUM(F87:F93)</f>
        <v>0</v>
      </c>
      <c r="G102" s="201">
        <f>SUM(G87:G93)</f>
        <v>0</v>
      </c>
      <c r="H102" s="238"/>
      <c r="I102" s="238"/>
      <c r="J102" s="238"/>
      <c r="K102" s="238"/>
      <c r="L102" s="238"/>
      <c r="M102" s="238"/>
      <c r="N102" s="238"/>
      <c r="O102" s="238"/>
      <c r="P102" s="238"/>
      <c r="Q102" s="251"/>
      <c r="R102" s="257"/>
      <c r="S102" s="222">
        <f t="shared" si="1"/>
        <v>0</v>
      </c>
      <c r="T102" s="228">
        <f t="shared" si="2"/>
        <v>0</v>
      </c>
      <c r="U102" s="222">
        <f t="shared" si="3"/>
        <v>0</v>
      </c>
      <c r="V102" s="222">
        <f t="shared" si="4"/>
        <v>0</v>
      </c>
      <c r="W102" s="228">
        <f t="shared" si="5"/>
        <v>0</v>
      </c>
      <c r="X102" s="228"/>
    </row>
    <row r="103" spans="1:24" hidden="1" x14ac:dyDescent="0.25">
      <c r="A103" s="201"/>
      <c r="B103" s="202" t="s">
        <v>192</v>
      </c>
      <c r="C103" s="362"/>
      <c r="D103" s="361"/>
      <c r="E103" s="360"/>
      <c r="F103" s="359">
        <f>SUM(F95:F101)</f>
        <v>55200000</v>
      </c>
      <c r="G103" s="201">
        <f>SUM(G95:G101)</f>
        <v>36800</v>
      </c>
      <c r="H103" s="238"/>
      <c r="I103" s="238"/>
      <c r="J103" s="238"/>
      <c r="K103" s="238"/>
      <c r="L103" s="238"/>
      <c r="M103" s="238"/>
      <c r="N103" s="238"/>
      <c r="O103" s="238"/>
      <c r="P103" s="238"/>
      <c r="Q103" s="251"/>
      <c r="R103" s="257"/>
      <c r="S103" s="222">
        <f t="shared" si="1"/>
        <v>-55200000</v>
      </c>
      <c r="T103" s="228">
        <f t="shared" si="2"/>
        <v>-1</v>
      </c>
      <c r="U103" s="222">
        <f t="shared" si="3"/>
        <v>0</v>
      </c>
      <c r="V103" s="222">
        <f t="shared" si="4"/>
        <v>-36800</v>
      </c>
      <c r="W103" s="228">
        <f t="shared" si="5"/>
        <v>-1</v>
      </c>
      <c r="X103" s="228"/>
    </row>
    <row r="104" spans="1:24" ht="13.8" thickBot="1" x14ac:dyDescent="0.3">
      <c r="A104" s="103"/>
      <c r="B104" s="150" t="s">
        <v>85</v>
      </c>
      <c r="C104" s="294"/>
      <c r="D104" s="293"/>
      <c r="E104" s="292"/>
      <c r="F104" s="316">
        <f>SUM(F95:F99)</f>
        <v>55200000</v>
      </c>
      <c r="G104" s="316">
        <f>SUM(G95:G99)</f>
        <v>36800</v>
      </c>
      <c r="H104" s="286"/>
      <c r="I104" s="286"/>
      <c r="J104" s="286"/>
      <c r="K104" s="286"/>
      <c r="L104" s="286"/>
      <c r="M104" s="286"/>
      <c r="N104" s="286"/>
      <c r="O104" s="286"/>
      <c r="P104" s="286"/>
      <c r="Q104" s="312"/>
      <c r="R104" s="311"/>
      <c r="S104" s="234">
        <f t="shared" si="1"/>
        <v>-55200000</v>
      </c>
      <c r="T104" s="235">
        <f t="shared" si="2"/>
        <v>-1</v>
      </c>
      <c r="U104" s="234">
        <f t="shared" si="3"/>
        <v>0</v>
      </c>
      <c r="V104" s="234">
        <f t="shared" si="4"/>
        <v>-36800</v>
      </c>
      <c r="W104" s="235">
        <f t="shared" si="5"/>
        <v>-1</v>
      </c>
      <c r="X104" s="235"/>
    </row>
    <row r="105" spans="1:24" ht="13.8" thickTop="1" x14ac:dyDescent="0.25">
      <c r="A105" s="91"/>
      <c r="B105" s="74"/>
      <c r="C105" s="358"/>
      <c r="D105" s="357"/>
      <c r="E105" s="356"/>
      <c r="F105" s="356"/>
      <c r="G105" s="91"/>
      <c r="H105" s="238"/>
      <c r="I105" s="238"/>
      <c r="J105" s="238"/>
      <c r="K105" s="238"/>
      <c r="L105" s="238"/>
      <c r="M105" s="238"/>
      <c r="N105" s="238"/>
      <c r="O105" s="238"/>
      <c r="P105" s="238"/>
      <c r="Q105" s="251"/>
      <c r="R105" s="257"/>
      <c r="S105" s="222"/>
      <c r="T105" s="228"/>
      <c r="U105" s="222"/>
      <c r="V105" s="222"/>
      <c r="W105" s="228"/>
      <c r="X105" s="228"/>
    </row>
    <row r="106" spans="1:24" x14ac:dyDescent="0.25">
      <c r="A106" s="129">
        <v>2</v>
      </c>
      <c r="B106" s="130" t="s">
        <v>99</v>
      </c>
      <c r="C106" s="329"/>
      <c r="D106" s="328"/>
      <c r="E106" s="327"/>
      <c r="F106" s="327"/>
      <c r="G106" s="151"/>
      <c r="H106" s="238"/>
      <c r="I106" s="238"/>
      <c r="J106" s="238"/>
      <c r="K106" s="238"/>
      <c r="L106" s="238"/>
      <c r="M106" s="238"/>
      <c r="N106" s="238"/>
      <c r="O106" s="238"/>
      <c r="P106" s="238"/>
      <c r="Q106" s="251"/>
      <c r="R106" s="259"/>
      <c r="S106" s="227"/>
      <c r="T106" s="229"/>
      <c r="U106" s="227"/>
      <c r="V106" s="227"/>
      <c r="W106" s="229"/>
      <c r="X106" s="229"/>
    </row>
    <row r="107" spans="1:24" x14ac:dyDescent="0.25">
      <c r="A107" s="217" t="s">
        <v>100</v>
      </c>
      <c r="B107" s="153" t="s">
        <v>70</v>
      </c>
      <c r="C107" s="398"/>
      <c r="D107" s="399"/>
      <c r="E107" s="400"/>
      <c r="F107" s="352">
        <v>90000000</v>
      </c>
      <c r="G107" s="212">
        <v>60000</v>
      </c>
      <c r="H107" s="239"/>
      <c r="I107" s="239"/>
      <c r="J107" s="239"/>
      <c r="K107" s="239"/>
      <c r="L107" s="239"/>
      <c r="M107" s="239"/>
      <c r="N107" s="239"/>
      <c r="O107" s="239"/>
      <c r="P107" s="239"/>
      <c r="Q107" s="250"/>
      <c r="R107" s="261"/>
      <c r="S107" s="236">
        <f t="shared" si="1"/>
        <v>-90000000</v>
      </c>
      <c r="T107" s="237">
        <f t="shared" si="2"/>
        <v>-1</v>
      </c>
      <c r="U107" s="236">
        <f t="shared" si="3"/>
        <v>0</v>
      </c>
      <c r="V107" s="236">
        <f t="shared" si="4"/>
        <v>-60000</v>
      </c>
      <c r="W107" s="237">
        <f t="shared" si="5"/>
        <v>-1</v>
      </c>
      <c r="X107" s="237"/>
    </row>
    <row r="108" spans="1:24" x14ac:dyDescent="0.25">
      <c r="A108" s="152" t="s">
        <v>200</v>
      </c>
      <c r="B108" s="110" t="s">
        <v>404</v>
      </c>
      <c r="C108" s="351" t="s">
        <v>405</v>
      </c>
      <c r="D108" s="350">
        <v>25</v>
      </c>
      <c r="E108" s="349">
        <f>300000*12</f>
        <v>3600000</v>
      </c>
      <c r="F108" s="276">
        <v>90000000</v>
      </c>
      <c r="G108" s="35">
        <v>60000</v>
      </c>
      <c r="H108" s="239"/>
      <c r="I108" s="239"/>
      <c r="J108" s="239"/>
      <c r="K108" s="239"/>
      <c r="L108" s="239"/>
      <c r="M108" s="239"/>
      <c r="N108" s="239"/>
      <c r="O108" s="239"/>
      <c r="P108" s="239"/>
      <c r="Q108" s="250"/>
      <c r="R108" s="261"/>
      <c r="S108" s="222">
        <f t="shared" si="1"/>
        <v>-90000000</v>
      </c>
      <c r="T108" s="228">
        <f t="shared" si="2"/>
        <v>-1</v>
      </c>
      <c r="U108" s="222">
        <f t="shared" si="3"/>
        <v>0</v>
      </c>
      <c r="V108" s="222">
        <f t="shared" si="4"/>
        <v>-60000</v>
      </c>
      <c r="W108" s="228">
        <f t="shared" si="5"/>
        <v>-1</v>
      </c>
      <c r="X108" s="228"/>
    </row>
    <row r="109" spans="1:24" hidden="1" x14ac:dyDescent="0.25">
      <c r="A109" s="152" t="s">
        <v>201</v>
      </c>
      <c r="B109" s="110" t="s">
        <v>253</v>
      </c>
      <c r="C109" s="351"/>
      <c r="D109" s="350"/>
      <c r="E109" s="349"/>
      <c r="F109" s="276">
        <f>D109*E109</f>
        <v>0</v>
      </c>
      <c r="G109" s="35">
        <f>F109*C4</f>
        <v>0</v>
      </c>
      <c r="H109" s="239"/>
      <c r="I109" s="239"/>
      <c r="J109" s="239"/>
      <c r="K109" s="239"/>
      <c r="L109" s="239"/>
      <c r="M109" s="239"/>
      <c r="N109" s="239"/>
      <c r="O109" s="239"/>
      <c r="P109" s="239"/>
      <c r="Q109" s="250"/>
      <c r="R109" s="261"/>
      <c r="S109" s="222">
        <f t="shared" si="1"/>
        <v>0</v>
      </c>
      <c r="T109" s="228">
        <f t="shared" si="2"/>
        <v>0</v>
      </c>
      <c r="U109" s="222">
        <f t="shared" si="3"/>
        <v>0</v>
      </c>
      <c r="V109" s="222">
        <f t="shared" si="4"/>
        <v>0</v>
      </c>
      <c r="W109" s="228">
        <f t="shared" si="5"/>
        <v>0</v>
      </c>
      <c r="X109" s="228"/>
    </row>
    <row r="110" spans="1:24" hidden="1" x14ac:dyDescent="0.25">
      <c r="A110" s="152" t="s">
        <v>202</v>
      </c>
      <c r="B110" s="110" t="s">
        <v>254</v>
      </c>
      <c r="C110" s="351"/>
      <c r="D110" s="350"/>
      <c r="E110" s="349"/>
      <c r="F110" s="276">
        <f>D110*E110</f>
        <v>0</v>
      </c>
      <c r="G110" s="35">
        <f>F110*C4</f>
        <v>0</v>
      </c>
      <c r="H110" s="239"/>
      <c r="I110" s="239"/>
      <c r="J110" s="239"/>
      <c r="K110" s="239"/>
      <c r="L110" s="239"/>
      <c r="M110" s="239"/>
      <c r="N110" s="239"/>
      <c r="O110" s="239"/>
      <c r="P110" s="239"/>
      <c r="Q110" s="250"/>
      <c r="R110" s="261"/>
      <c r="S110" s="222">
        <f t="shared" si="1"/>
        <v>0</v>
      </c>
      <c r="T110" s="228">
        <f t="shared" si="2"/>
        <v>0</v>
      </c>
      <c r="U110" s="222">
        <f t="shared" si="3"/>
        <v>0</v>
      </c>
      <c r="V110" s="222">
        <f t="shared" si="4"/>
        <v>0</v>
      </c>
      <c r="W110" s="228">
        <f t="shared" si="5"/>
        <v>0</v>
      </c>
      <c r="X110" s="228"/>
    </row>
    <row r="111" spans="1:24" hidden="1" x14ac:dyDescent="0.25">
      <c r="A111" s="152" t="s">
        <v>203</v>
      </c>
      <c r="B111" s="110" t="s">
        <v>255</v>
      </c>
      <c r="C111" s="351"/>
      <c r="D111" s="350"/>
      <c r="E111" s="349"/>
      <c r="F111" s="276">
        <f>D111*E111</f>
        <v>0</v>
      </c>
      <c r="G111" s="35">
        <f>F111*C4</f>
        <v>0</v>
      </c>
      <c r="H111" s="239"/>
      <c r="I111" s="239"/>
      <c r="J111" s="239"/>
      <c r="K111" s="239"/>
      <c r="L111" s="239"/>
      <c r="M111" s="239"/>
      <c r="N111" s="239"/>
      <c r="O111" s="239"/>
      <c r="P111" s="239"/>
      <c r="Q111" s="250"/>
      <c r="R111" s="261"/>
      <c r="S111" s="222">
        <f t="shared" si="1"/>
        <v>0</v>
      </c>
      <c r="T111" s="228">
        <f t="shared" si="2"/>
        <v>0</v>
      </c>
      <c r="U111" s="222">
        <f t="shared" si="3"/>
        <v>0</v>
      </c>
      <c r="V111" s="222">
        <f t="shared" si="4"/>
        <v>0</v>
      </c>
      <c r="W111" s="228">
        <f t="shared" si="5"/>
        <v>0</v>
      </c>
      <c r="X111" s="228"/>
    </row>
    <row r="112" spans="1:24" hidden="1" x14ac:dyDescent="0.25">
      <c r="A112" s="152" t="s">
        <v>204</v>
      </c>
      <c r="B112" s="110" t="s">
        <v>256</v>
      </c>
      <c r="C112" s="351"/>
      <c r="D112" s="350"/>
      <c r="E112" s="349"/>
      <c r="F112" s="276">
        <f>D112*E112</f>
        <v>0</v>
      </c>
      <c r="G112" s="35">
        <f>F112*C4</f>
        <v>0</v>
      </c>
      <c r="H112" s="239"/>
      <c r="I112" s="239"/>
      <c r="J112" s="239"/>
      <c r="K112" s="239"/>
      <c r="L112" s="239"/>
      <c r="M112" s="239"/>
      <c r="N112" s="239"/>
      <c r="O112" s="239"/>
      <c r="P112" s="239"/>
      <c r="Q112" s="250"/>
      <c r="R112" s="261"/>
      <c r="S112" s="222">
        <f t="shared" si="1"/>
        <v>0</v>
      </c>
      <c r="T112" s="228">
        <f t="shared" si="2"/>
        <v>0</v>
      </c>
      <c r="U112" s="222">
        <f t="shared" si="3"/>
        <v>0</v>
      </c>
      <c r="V112" s="222">
        <f t="shared" si="4"/>
        <v>0</v>
      </c>
      <c r="W112" s="228">
        <f t="shared" si="5"/>
        <v>0</v>
      </c>
      <c r="X112" s="228"/>
    </row>
    <row r="113" spans="1:24" x14ac:dyDescent="0.25">
      <c r="A113" s="217" t="s">
        <v>101</v>
      </c>
      <c r="B113" s="218" t="s">
        <v>59</v>
      </c>
      <c r="C113" s="398"/>
      <c r="D113" s="399"/>
      <c r="E113" s="400"/>
      <c r="F113" s="352">
        <f>SUM(F114:F118)</f>
        <v>36000000</v>
      </c>
      <c r="G113" s="212">
        <f>SUM(G114:G118)</f>
        <v>24000</v>
      </c>
      <c r="H113" s="239"/>
      <c r="I113" s="239"/>
      <c r="J113" s="239"/>
      <c r="K113" s="239"/>
      <c r="L113" s="239"/>
      <c r="M113" s="239"/>
      <c r="N113" s="239"/>
      <c r="O113" s="239"/>
      <c r="P113" s="239"/>
      <c r="Q113" s="250"/>
      <c r="R113" s="261"/>
      <c r="S113" s="236">
        <f t="shared" si="1"/>
        <v>-36000000</v>
      </c>
      <c r="T113" s="237">
        <f t="shared" si="2"/>
        <v>-1</v>
      </c>
      <c r="U113" s="236">
        <f t="shared" si="3"/>
        <v>0</v>
      </c>
      <c r="V113" s="236">
        <f t="shared" si="4"/>
        <v>-24000</v>
      </c>
      <c r="W113" s="237">
        <f t="shared" si="5"/>
        <v>-1</v>
      </c>
      <c r="X113" s="237"/>
    </row>
    <row r="114" spans="1:24" x14ac:dyDescent="0.25">
      <c r="A114" s="152" t="s">
        <v>205</v>
      </c>
      <c r="B114" s="110" t="s">
        <v>406</v>
      </c>
      <c r="C114" s="351" t="s">
        <v>407</v>
      </c>
      <c r="D114" s="350">
        <v>600</v>
      </c>
      <c r="E114" s="349">
        <v>60000</v>
      </c>
      <c r="F114" s="276">
        <f>D114*E114</f>
        <v>36000000</v>
      </c>
      <c r="G114" s="35">
        <v>24000</v>
      </c>
      <c r="H114" s="239"/>
      <c r="I114" s="239"/>
      <c r="J114" s="239"/>
      <c r="K114" s="239"/>
      <c r="L114" s="239"/>
      <c r="M114" s="239"/>
      <c r="N114" s="239"/>
      <c r="O114" s="239"/>
      <c r="P114" s="239"/>
      <c r="Q114" s="250"/>
      <c r="R114" s="261"/>
      <c r="S114" s="222">
        <f t="shared" si="1"/>
        <v>-36000000</v>
      </c>
      <c r="T114" s="228">
        <f t="shared" si="2"/>
        <v>-1</v>
      </c>
      <c r="U114" s="222">
        <f t="shared" si="3"/>
        <v>0</v>
      </c>
      <c r="V114" s="222">
        <f t="shared" si="4"/>
        <v>-24000</v>
      </c>
      <c r="W114" s="228">
        <f t="shared" si="5"/>
        <v>-1</v>
      </c>
      <c r="X114" s="228"/>
    </row>
    <row r="115" spans="1:24" hidden="1" x14ac:dyDescent="0.25">
      <c r="A115" s="152" t="s">
        <v>206</v>
      </c>
      <c r="B115" s="110" t="s">
        <v>261</v>
      </c>
      <c r="C115" s="351"/>
      <c r="D115" s="350"/>
      <c r="E115" s="349"/>
      <c r="F115" s="276">
        <f>D115*E115</f>
        <v>0</v>
      </c>
      <c r="G115" s="35">
        <f>F115*C4</f>
        <v>0</v>
      </c>
      <c r="H115" s="239"/>
      <c r="I115" s="239"/>
      <c r="J115" s="239"/>
      <c r="K115" s="239"/>
      <c r="L115" s="239"/>
      <c r="M115" s="239"/>
      <c r="N115" s="239"/>
      <c r="O115" s="239"/>
      <c r="P115" s="239"/>
      <c r="Q115" s="250"/>
      <c r="R115" s="261"/>
      <c r="S115" s="222">
        <f t="shared" si="1"/>
        <v>0</v>
      </c>
      <c r="T115" s="228">
        <f t="shared" si="2"/>
        <v>0</v>
      </c>
      <c r="U115" s="222">
        <f t="shared" si="3"/>
        <v>0</v>
      </c>
      <c r="V115" s="222">
        <f t="shared" si="4"/>
        <v>0</v>
      </c>
      <c r="W115" s="228">
        <f t="shared" si="5"/>
        <v>0</v>
      </c>
      <c r="X115" s="228"/>
    </row>
    <row r="116" spans="1:24" hidden="1" x14ac:dyDescent="0.25">
      <c r="A116" s="152" t="s">
        <v>207</v>
      </c>
      <c r="B116" s="110" t="s">
        <v>260</v>
      </c>
      <c r="C116" s="351"/>
      <c r="D116" s="350"/>
      <c r="E116" s="349"/>
      <c r="F116" s="276">
        <f>D116*E116</f>
        <v>0</v>
      </c>
      <c r="G116" s="35">
        <f>F116*C4</f>
        <v>0</v>
      </c>
      <c r="H116" s="239"/>
      <c r="I116" s="239"/>
      <c r="J116" s="239"/>
      <c r="K116" s="239"/>
      <c r="L116" s="239"/>
      <c r="M116" s="239"/>
      <c r="N116" s="239"/>
      <c r="O116" s="239"/>
      <c r="P116" s="239"/>
      <c r="Q116" s="250"/>
      <c r="R116" s="261"/>
      <c r="S116" s="222">
        <f t="shared" si="1"/>
        <v>0</v>
      </c>
      <c r="T116" s="228">
        <f t="shared" si="2"/>
        <v>0</v>
      </c>
      <c r="U116" s="222">
        <f t="shared" si="3"/>
        <v>0</v>
      </c>
      <c r="V116" s="222">
        <f t="shared" si="4"/>
        <v>0</v>
      </c>
      <c r="W116" s="228">
        <f t="shared" si="5"/>
        <v>0</v>
      </c>
      <c r="X116" s="228"/>
    </row>
    <row r="117" spans="1:24" hidden="1" x14ac:dyDescent="0.25">
      <c r="A117" s="152" t="s">
        <v>208</v>
      </c>
      <c r="B117" s="110" t="s">
        <v>259</v>
      </c>
      <c r="C117" s="351"/>
      <c r="D117" s="350"/>
      <c r="E117" s="349"/>
      <c r="F117" s="276">
        <f>D117*E117</f>
        <v>0</v>
      </c>
      <c r="G117" s="35">
        <f>F117*C4</f>
        <v>0</v>
      </c>
      <c r="H117" s="239"/>
      <c r="I117" s="239"/>
      <c r="J117" s="239"/>
      <c r="K117" s="239"/>
      <c r="L117" s="239"/>
      <c r="M117" s="239"/>
      <c r="N117" s="239"/>
      <c r="O117" s="239"/>
      <c r="P117" s="239"/>
      <c r="Q117" s="250"/>
      <c r="R117" s="261"/>
      <c r="S117" s="222">
        <f t="shared" si="1"/>
        <v>0</v>
      </c>
      <c r="T117" s="228">
        <f t="shared" si="2"/>
        <v>0</v>
      </c>
      <c r="U117" s="222">
        <f t="shared" si="3"/>
        <v>0</v>
      </c>
      <c r="V117" s="222">
        <f t="shared" si="4"/>
        <v>0</v>
      </c>
      <c r="W117" s="228">
        <f t="shared" si="5"/>
        <v>0</v>
      </c>
      <c r="X117" s="228"/>
    </row>
    <row r="118" spans="1:24" hidden="1" x14ac:dyDescent="0.25">
      <c r="A118" s="152" t="s">
        <v>209</v>
      </c>
      <c r="B118" s="110" t="s">
        <v>258</v>
      </c>
      <c r="C118" s="351"/>
      <c r="D118" s="350"/>
      <c r="E118" s="349"/>
      <c r="F118" s="276">
        <f>D118*E118</f>
        <v>0</v>
      </c>
      <c r="G118" s="35">
        <f>F118*C4</f>
        <v>0</v>
      </c>
      <c r="H118" s="239"/>
      <c r="I118" s="239"/>
      <c r="J118" s="239"/>
      <c r="K118" s="239"/>
      <c r="L118" s="239"/>
      <c r="M118" s="239"/>
      <c r="N118" s="239"/>
      <c r="O118" s="239"/>
      <c r="P118" s="239"/>
      <c r="Q118" s="250"/>
      <c r="R118" s="261"/>
      <c r="S118" s="222">
        <f t="shared" si="1"/>
        <v>0</v>
      </c>
      <c r="T118" s="228">
        <f t="shared" si="2"/>
        <v>0</v>
      </c>
      <c r="U118" s="222">
        <f t="shared" si="3"/>
        <v>0</v>
      </c>
      <c r="V118" s="222">
        <f t="shared" si="4"/>
        <v>0</v>
      </c>
      <c r="W118" s="228">
        <f t="shared" si="5"/>
        <v>0</v>
      </c>
      <c r="X118" s="228"/>
    </row>
    <row r="119" spans="1:24" x14ac:dyDescent="0.25">
      <c r="A119" s="217" t="s">
        <v>102</v>
      </c>
      <c r="B119" s="218" t="s">
        <v>71</v>
      </c>
      <c r="C119" s="398"/>
      <c r="D119" s="399"/>
      <c r="E119" s="400"/>
      <c r="F119" s="352">
        <f>SUM(F120:F124)</f>
        <v>24000000</v>
      </c>
      <c r="G119" s="212">
        <f>SUM(G120:G124)</f>
        <v>16000</v>
      </c>
      <c r="H119" s="239"/>
      <c r="I119" s="239"/>
      <c r="J119" s="239"/>
      <c r="K119" s="239"/>
      <c r="L119" s="239"/>
      <c r="M119" s="239"/>
      <c r="N119" s="239"/>
      <c r="O119" s="239"/>
      <c r="P119" s="239"/>
      <c r="Q119" s="250"/>
      <c r="R119" s="261"/>
      <c r="S119" s="236">
        <f t="shared" si="1"/>
        <v>-24000000</v>
      </c>
      <c r="T119" s="237">
        <f t="shared" si="2"/>
        <v>-1</v>
      </c>
      <c r="U119" s="236">
        <f t="shared" si="3"/>
        <v>0</v>
      </c>
      <c r="V119" s="236">
        <f t="shared" si="4"/>
        <v>-16000</v>
      </c>
      <c r="W119" s="237">
        <f t="shared" si="5"/>
        <v>-1</v>
      </c>
      <c r="X119" s="237"/>
    </row>
    <row r="120" spans="1:24" x14ac:dyDescent="0.25">
      <c r="A120" s="152" t="s">
        <v>210</v>
      </c>
      <c r="B120" s="110" t="s">
        <v>408</v>
      </c>
      <c r="C120" s="351" t="s">
        <v>407</v>
      </c>
      <c r="D120" s="350">
        <v>600</v>
      </c>
      <c r="E120" s="349">
        <v>40000</v>
      </c>
      <c r="F120" s="276">
        <f>D120*E120</f>
        <v>24000000</v>
      </c>
      <c r="G120" s="35">
        <v>16000</v>
      </c>
      <c r="H120" s="239"/>
      <c r="I120" s="239"/>
      <c r="J120" s="239"/>
      <c r="K120" s="239"/>
      <c r="L120" s="239"/>
      <c r="M120" s="239"/>
      <c r="N120" s="239"/>
      <c r="O120" s="239"/>
      <c r="P120" s="239"/>
      <c r="Q120" s="250"/>
      <c r="R120" s="261"/>
      <c r="S120" s="222">
        <f t="shared" si="1"/>
        <v>-24000000</v>
      </c>
      <c r="T120" s="228">
        <f t="shared" si="2"/>
        <v>-1</v>
      </c>
      <c r="U120" s="222">
        <f t="shared" si="3"/>
        <v>0</v>
      </c>
      <c r="V120" s="222">
        <f t="shared" si="4"/>
        <v>-16000</v>
      </c>
      <c r="W120" s="228">
        <f t="shared" si="5"/>
        <v>-1</v>
      </c>
      <c r="X120" s="228"/>
    </row>
    <row r="121" spans="1:24" hidden="1" x14ac:dyDescent="0.25">
      <c r="A121" s="152" t="s">
        <v>211</v>
      </c>
      <c r="B121" s="110" t="s">
        <v>263</v>
      </c>
      <c r="C121" s="351"/>
      <c r="D121" s="350"/>
      <c r="E121" s="349"/>
      <c r="F121" s="276">
        <f>D121*E121</f>
        <v>0</v>
      </c>
      <c r="G121" s="35">
        <f>F121*C4</f>
        <v>0</v>
      </c>
      <c r="H121" s="239"/>
      <c r="I121" s="239"/>
      <c r="J121" s="239"/>
      <c r="K121" s="239"/>
      <c r="L121" s="239"/>
      <c r="M121" s="239"/>
      <c r="N121" s="239"/>
      <c r="O121" s="239"/>
      <c r="P121" s="239"/>
      <c r="Q121" s="250"/>
      <c r="R121" s="261"/>
      <c r="S121" s="222">
        <f t="shared" si="1"/>
        <v>0</v>
      </c>
      <c r="T121" s="228">
        <f t="shared" si="2"/>
        <v>0</v>
      </c>
      <c r="U121" s="222">
        <f t="shared" si="3"/>
        <v>0</v>
      </c>
      <c r="V121" s="222">
        <f t="shared" si="4"/>
        <v>0</v>
      </c>
      <c r="W121" s="228">
        <f t="shared" si="5"/>
        <v>0</v>
      </c>
      <c r="X121" s="228"/>
    </row>
    <row r="122" spans="1:24" hidden="1" x14ac:dyDescent="0.25">
      <c r="A122" s="152" t="s">
        <v>212</v>
      </c>
      <c r="B122" s="110" t="s">
        <v>264</v>
      </c>
      <c r="C122" s="351"/>
      <c r="D122" s="350"/>
      <c r="E122" s="349"/>
      <c r="F122" s="276">
        <f>D122*E122</f>
        <v>0</v>
      </c>
      <c r="G122" s="35">
        <f>F122*C4</f>
        <v>0</v>
      </c>
      <c r="H122" s="239"/>
      <c r="I122" s="239"/>
      <c r="J122" s="239"/>
      <c r="K122" s="239"/>
      <c r="L122" s="239"/>
      <c r="M122" s="239"/>
      <c r="N122" s="239"/>
      <c r="O122" s="239"/>
      <c r="P122" s="239"/>
      <c r="Q122" s="250"/>
      <c r="R122" s="261"/>
      <c r="S122" s="222">
        <f t="shared" si="1"/>
        <v>0</v>
      </c>
      <c r="T122" s="228">
        <f t="shared" si="2"/>
        <v>0</v>
      </c>
      <c r="U122" s="222">
        <f t="shared" si="3"/>
        <v>0</v>
      </c>
      <c r="V122" s="222">
        <f t="shared" si="4"/>
        <v>0</v>
      </c>
      <c r="W122" s="228">
        <f t="shared" si="5"/>
        <v>0</v>
      </c>
      <c r="X122" s="228"/>
    </row>
    <row r="123" spans="1:24" hidden="1" x14ac:dyDescent="0.25">
      <c r="A123" s="152" t="s">
        <v>213</v>
      </c>
      <c r="B123" s="110" t="s">
        <v>265</v>
      </c>
      <c r="C123" s="351"/>
      <c r="D123" s="350"/>
      <c r="E123" s="349"/>
      <c r="F123" s="276">
        <f>D123*E123</f>
        <v>0</v>
      </c>
      <c r="G123" s="35">
        <f>F123*C4</f>
        <v>0</v>
      </c>
      <c r="H123" s="239"/>
      <c r="I123" s="239"/>
      <c r="J123" s="239"/>
      <c r="K123" s="239"/>
      <c r="L123" s="239"/>
      <c r="M123" s="239"/>
      <c r="N123" s="239"/>
      <c r="O123" s="239"/>
      <c r="P123" s="239"/>
      <c r="Q123" s="250"/>
      <c r="R123" s="261"/>
      <c r="S123" s="222">
        <f t="shared" si="1"/>
        <v>0</v>
      </c>
      <c r="T123" s="228">
        <f t="shared" si="2"/>
        <v>0</v>
      </c>
      <c r="U123" s="222">
        <f t="shared" si="3"/>
        <v>0</v>
      </c>
      <c r="V123" s="222">
        <f t="shared" si="4"/>
        <v>0</v>
      </c>
      <c r="W123" s="228">
        <f t="shared" si="5"/>
        <v>0</v>
      </c>
      <c r="X123" s="228"/>
    </row>
    <row r="124" spans="1:24" hidden="1" x14ac:dyDescent="0.25">
      <c r="A124" s="152" t="s">
        <v>214</v>
      </c>
      <c r="B124" s="110" t="s">
        <v>266</v>
      </c>
      <c r="C124" s="351"/>
      <c r="D124" s="350"/>
      <c r="E124" s="349"/>
      <c r="F124" s="276">
        <f>D124*E124</f>
        <v>0</v>
      </c>
      <c r="G124" s="35">
        <f>F124*C4</f>
        <v>0</v>
      </c>
      <c r="H124" s="239"/>
      <c r="I124" s="239"/>
      <c r="J124" s="239"/>
      <c r="K124" s="239"/>
      <c r="L124" s="239"/>
      <c r="M124" s="239"/>
      <c r="N124" s="239"/>
      <c r="O124" s="239"/>
      <c r="P124" s="239"/>
      <c r="Q124" s="250"/>
      <c r="R124" s="261"/>
      <c r="S124" s="222">
        <f t="shared" si="1"/>
        <v>0</v>
      </c>
      <c r="T124" s="228">
        <f t="shared" si="2"/>
        <v>0</v>
      </c>
      <c r="U124" s="222">
        <f t="shared" si="3"/>
        <v>0</v>
      </c>
      <c r="V124" s="222">
        <f t="shared" si="4"/>
        <v>0</v>
      </c>
      <c r="W124" s="228">
        <f t="shared" si="5"/>
        <v>0</v>
      </c>
      <c r="X124" s="228"/>
    </row>
    <row r="125" spans="1:24" x14ac:dyDescent="0.25">
      <c r="A125" s="217" t="s">
        <v>103</v>
      </c>
      <c r="B125" s="218" t="s">
        <v>72</v>
      </c>
      <c r="C125" s="398"/>
      <c r="D125" s="399"/>
      <c r="E125" s="400"/>
      <c r="F125" s="352">
        <f>SUM(F126:F130)</f>
        <v>0</v>
      </c>
      <c r="G125" s="212">
        <f>SUM(G126:G130)</f>
        <v>0</v>
      </c>
      <c r="H125" s="239"/>
      <c r="I125" s="239"/>
      <c r="J125" s="239"/>
      <c r="K125" s="239"/>
      <c r="L125" s="239"/>
      <c r="M125" s="239"/>
      <c r="N125" s="239"/>
      <c r="O125" s="239"/>
      <c r="P125" s="239"/>
      <c r="Q125" s="250"/>
      <c r="R125" s="261"/>
      <c r="S125" s="236">
        <f t="shared" si="1"/>
        <v>0</v>
      </c>
      <c r="T125" s="237">
        <f t="shared" si="2"/>
        <v>0</v>
      </c>
      <c r="U125" s="236">
        <f t="shared" si="3"/>
        <v>0</v>
      </c>
      <c r="V125" s="236">
        <f t="shared" si="4"/>
        <v>0</v>
      </c>
      <c r="W125" s="237">
        <f t="shared" si="5"/>
        <v>0</v>
      </c>
      <c r="X125" s="237"/>
    </row>
    <row r="126" spans="1:24" hidden="1" x14ac:dyDescent="0.25">
      <c r="A126" s="152" t="s">
        <v>215</v>
      </c>
      <c r="B126" s="110" t="s">
        <v>267</v>
      </c>
      <c r="C126" s="351"/>
      <c r="D126" s="350"/>
      <c r="E126" s="349"/>
      <c r="F126" s="276">
        <f>D126*E126</f>
        <v>0</v>
      </c>
      <c r="G126" s="35">
        <f>F126*C4</f>
        <v>0</v>
      </c>
      <c r="H126" s="239"/>
      <c r="I126" s="239"/>
      <c r="J126" s="239"/>
      <c r="K126" s="239"/>
      <c r="L126" s="239"/>
      <c r="M126" s="239"/>
      <c r="N126" s="239"/>
      <c r="O126" s="239"/>
      <c r="P126" s="239"/>
      <c r="Q126" s="250"/>
      <c r="R126" s="261"/>
      <c r="S126" s="222">
        <f t="shared" si="1"/>
        <v>0</v>
      </c>
      <c r="T126" s="228">
        <f t="shared" si="2"/>
        <v>0</v>
      </c>
      <c r="U126" s="222">
        <f t="shared" si="3"/>
        <v>0</v>
      </c>
      <c r="V126" s="222">
        <f t="shared" si="4"/>
        <v>0</v>
      </c>
      <c r="W126" s="228">
        <f t="shared" si="5"/>
        <v>0</v>
      </c>
      <c r="X126" s="228"/>
    </row>
    <row r="127" spans="1:24" hidden="1" x14ac:dyDescent="0.25">
      <c r="A127" s="152" t="s">
        <v>216</v>
      </c>
      <c r="B127" s="110" t="s">
        <v>268</v>
      </c>
      <c r="C127" s="351"/>
      <c r="D127" s="350"/>
      <c r="E127" s="349"/>
      <c r="F127" s="276">
        <f>D127*E127</f>
        <v>0</v>
      </c>
      <c r="G127" s="35">
        <f>F127*C4</f>
        <v>0</v>
      </c>
      <c r="H127" s="239"/>
      <c r="I127" s="239"/>
      <c r="J127" s="239"/>
      <c r="K127" s="239"/>
      <c r="L127" s="239"/>
      <c r="M127" s="239"/>
      <c r="N127" s="239"/>
      <c r="O127" s="239"/>
      <c r="P127" s="239"/>
      <c r="Q127" s="250"/>
      <c r="R127" s="261"/>
      <c r="S127" s="222">
        <f t="shared" si="1"/>
        <v>0</v>
      </c>
      <c r="T127" s="228">
        <f t="shared" si="2"/>
        <v>0</v>
      </c>
      <c r="U127" s="222">
        <f t="shared" si="3"/>
        <v>0</v>
      </c>
      <c r="V127" s="222">
        <f t="shared" si="4"/>
        <v>0</v>
      </c>
      <c r="W127" s="228">
        <f t="shared" si="5"/>
        <v>0</v>
      </c>
      <c r="X127" s="228"/>
    </row>
    <row r="128" spans="1:24" hidden="1" x14ac:dyDescent="0.25">
      <c r="A128" s="152" t="s">
        <v>217</v>
      </c>
      <c r="B128" s="110" t="s">
        <v>269</v>
      </c>
      <c r="C128" s="351"/>
      <c r="D128" s="350"/>
      <c r="E128" s="349"/>
      <c r="F128" s="276">
        <f>D128*E128</f>
        <v>0</v>
      </c>
      <c r="G128" s="35">
        <f>F128*C4</f>
        <v>0</v>
      </c>
      <c r="H128" s="239"/>
      <c r="I128" s="239"/>
      <c r="J128" s="239"/>
      <c r="K128" s="239"/>
      <c r="L128" s="239"/>
      <c r="M128" s="239"/>
      <c r="N128" s="239"/>
      <c r="O128" s="239"/>
      <c r="P128" s="239"/>
      <c r="Q128" s="250"/>
      <c r="R128" s="261"/>
      <c r="S128" s="222">
        <f t="shared" si="1"/>
        <v>0</v>
      </c>
      <c r="T128" s="228">
        <f t="shared" si="2"/>
        <v>0</v>
      </c>
      <c r="U128" s="222">
        <f t="shared" si="3"/>
        <v>0</v>
      </c>
      <c r="V128" s="222">
        <f t="shared" si="4"/>
        <v>0</v>
      </c>
      <c r="W128" s="228">
        <f t="shared" si="5"/>
        <v>0</v>
      </c>
      <c r="X128" s="228"/>
    </row>
    <row r="129" spans="1:24" hidden="1" x14ac:dyDescent="0.25">
      <c r="A129" s="152" t="s">
        <v>218</v>
      </c>
      <c r="B129" s="110" t="s">
        <v>270</v>
      </c>
      <c r="C129" s="351"/>
      <c r="D129" s="350"/>
      <c r="E129" s="349"/>
      <c r="F129" s="276">
        <f>D129*E129</f>
        <v>0</v>
      </c>
      <c r="G129" s="35">
        <f>F129*C4</f>
        <v>0</v>
      </c>
      <c r="H129" s="239"/>
      <c r="I129" s="239"/>
      <c r="J129" s="239"/>
      <c r="K129" s="239"/>
      <c r="L129" s="239"/>
      <c r="M129" s="239"/>
      <c r="N129" s="239"/>
      <c r="O129" s="239"/>
      <c r="P129" s="239"/>
      <c r="Q129" s="250"/>
      <c r="R129" s="261"/>
      <c r="S129" s="222">
        <f t="shared" si="1"/>
        <v>0</v>
      </c>
      <c r="T129" s="228">
        <f t="shared" si="2"/>
        <v>0</v>
      </c>
      <c r="U129" s="222">
        <f t="shared" si="3"/>
        <v>0</v>
      </c>
      <c r="V129" s="222">
        <f t="shared" si="4"/>
        <v>0</v>
      </c>
      <c r="W129" s="228">
        <f t="shared" si="5"/>
        <v>0</v>
      </c>
      <c r="X129" s="228"/>
    </row>
    <row r="130" spans="1:24" hidden="1" x14ac:dyDescent="0.25">
      <c r="A130" s="152" t="s">
        <v>219</v>
      </c>
      <c r="B130" s="110" t="s">
        <v>271</v>
      </c>
      <c r="C130" s="351"/>
      <c r="D130" s="350"/>
      <c r="E130" s="349"/>
      <c r="F130" s="276">
        <f>D130*E130</f>
        <v>0</v>
      </c>
      <c r="G130" s="35">
        <f>F130*C4</f>
        <v>0</v>
      </c>
      <c r="H130" s="239"/>
      <c r="I130" s="239"/>
      <c r="J130" s="239"/>
      <c r="K130" s="239"/>
      <c r="L130" s="239"/>
      <c r="M130" s="239"/>
      <c r="N130" s="239"/>
      <c r="O130" s="239"/>
      <c r="P130" s="239"/>
      <c r="Q130" s="250"/>
      <c r="R130" s="261"/>
      <c r="S130" s="222">
        <f t="shared" si="1"/>
        <v>0</v>
      </c>
      <c r="T130" s="228">
        <f t="shared" si="2"/>
        <v>0</v>
      </c>
      <c r="U130" s="222">
        <f t="shared" si="3"/>
        <v>0</v>
      </c>
      <c r="V130" s="222">
        <f t="shared" si="4"/>
        <v>0</v>
      </c>
      <c r="W130" s="228">
        <f t="shared" si="5"/>
        <v>0</v>
      </c>
      <c r="X130" s="228"/>
    </row>
    <row r="131" spans="1:24" x14ac:dyDescent="0.25">
      <c r="A131" s="217" t="s">
        <v>104</v>
      </c>
      <c r="B131" s="218" t="s">
        <v>73</v>
      </c>
      <c r="C131" s="398"/>
      <c r="D131" s="399"/>
      <c r="E131" s="400"/>
      <c r="F131" s="352">
        <f>SUM(F132:F136)</f>
        <v>33000000</v>
      </c>
      <c r="G131" s="212">
        <v>22000</v>
      </c>
      <c r="H131" s="239"/>
      <c r="I131" s="239"/>
      <c r="J131" s="239"/>
      <c r="K131" s="239"/>
      <c r="L131" s="239"/>
      <c r="M131" s="239"/>
      <c r="N131" s="239"/>
      <c r="O131" s="239"/>
      <c r="P131" s="239"/>
      <c r="Q131" s="250"/>
      <c r="R131" s="261"/>
      <c r="S131" s="236">
        <f t="shared" si="1"/>
        <v>-33000000</v>
      </c>
      <c r="T131" s="237">
        <f t="shared" si="2"/>
        <v>-1</v>
      </c>
      <c r="U131" s="236">
        <f t="shared" si="3"/>
        <v>0</v>
      </c>
      <c r="V131" s="236">
        <f t="shared" si="4"/>
        <v>-22000</v>
      </c>
      <c r="W131" s="237">
        <f t="shared" si="5"/>
        <v>-1</v>
      </c>
      <c r="X131" s="237"/>
    </row>
    <row r="132" spans="1:24" x14ac:dyDescent="0.25">
      <c r="A132" s="152" t="s">
        <v>220</v>
      </c>
      <c r="B132" s="110" t="s">
        <v>409</v>
      </c>
      <c r="C132" s="351" t="s">
        <v>410</v>
      </c>
      <c r="D132" s="350">
        <v>15</v>
      </c>
      <c r="E132" s="349">
        <v>800000</v>
      </c>
      <c r="F132" s="276">
        <f>D132*E132</f>
        <v>12000000</v>
      </c>
      <c r="G132" s="35">
        <v>8000</v>
      </c>
      <c r="H132" s="239"/>
      <c r="I132" s="239"/>
      <c r="J132" s="239"/>
      <c r="K132" s="239"/>
      <c r="L132" s="239"/>
      <c r="M132" s="239"/>
      <c r="N132" s="239"/>
      <c r="O132" s="239"/>
      <c r="P132" s="239"/>
      <c r="Q132" s="250"/>
      <c r="R132" s="261"/>
      <c r="S132" s="222">
        <f t="shared" si="1"/>
        <v>-12000000</v>
      </c>
      <c r="T132" s="228">
        <f t="shared" si="2"/>
        <v>-1</v>
      </c>
      <c r="U132" s="222">
        <f t="shared" si="3"/>
        <v>0</v>
      </c>
      <c r="V132" s="222">
        <f t="shared" si="4"/>
        <v>-8000</v>
      </c>
      <c r="W132" s="228">
        <f t="shared" si="5"/>
        <v>-1</v>
      </c>
      <c r="X132" s="228"/>
    </row>
    <row r="133" spans="1:24" x14ac:dyDescent="0.25">
      <c r="A133" s="152" t="s">
        <v>221</v>
      </c>
      <c r="B133" s="110" t="s">
        <v>411</v>
      </c>
      <c r="C133" s="351" t="s">
        <v>412</v>
      </c>
      <c r="D133" s="350">
        <v>30</v>
      </c>
      <c r="E133" s="349">
        <v>600000</v>
      </c>
      <c r="F133" s="276">
        <f>D133*E133</f>
        <v>18000000</v>
      </c>
      <c r="G133" s="35">
        <v>12000</v>
      </c>
      <c r="H133" s="239"/>
      <c r="I133" s="239"/>
      <c r="J133" s="239"/>
      <c r="K133" s="239"/>
      <c r="L133" s="239"/>
      <c r="M133" s="239"/>
      <c r="N133" s="239"/>
      <c r="O133" s="239"/>
      <c r="P133" s="239"/>
      <c r="Q133" s="250"/>
      <c r="R133" s="261"/>
      <c r="S133" s="222">
        <f t="shared" si="1"/>
        <v>-18000000</v>
      </c>
      <c r="T133" s="228">
        <f t="shared" si="2"/>
        <v>-1</v>
      </c>
      <c r="U133" s="222">
        <f t="shared" si="3"/>
        <v>0</v>
      </c>
      <c r="V133" s="222">
        <f t="shared" si="4"/>
        <v>-12000</v>
      </c>
      <c r="W133" s="228">
        <f t="shared" si="5"/>
        <v>-1</v>
      </c>
      <c r="X133" s="228"/>
    </row>
    <row r="134" spans="1:24" x14ac:dyDescent="0.25">
      <c r="A134" s="152" t="s">
        <v>222</v>
      </c>
      <c r="B134" s="110" t="s">
        <v>413</v>
      </c>
      <c r="C134" s="351" t="s">
        <v>412</v>
      </c>
      <c r="D134" s="350">
        <v>2</v>
      </c>
      <c r="E134" s="349">
        <v>1500000</v>
      </c>
      <c r="F134" s="276">
        <f>D134*E134</f>
        <v>3000000</v>
      </c>
      <c r="G134" s="35">
        <v>2000</v>
      </c>
      <c r="H134" s="239"/>
      <c r="I134" s="239"/>
      <c r="J134" s="239"/>
      <c r="K134" s="239"/>
      <c r="L134" s="239"/>
      <c r="M134" s="239"/>
      <c r="N134" s="239"/>
      <c r="O134" s="239"/>
      <c r="P134" s="239"/>
      <c r="Q134" s="250"/>
      <c r="R134" s="261"/>
      <c r="S134" s="222">
        <f t="shared" si="1"/>
        <v>-3000000</v>
      </c>
      <c r="T134" s="228">
        <f t="shared" si="2"/>
        <v>-1</v>
      </c>
      <c r="U134" s="222">
        <f t="shared" si="3"/>
        <v>0</v>
      </c>
      <c r="V134" s="222">
        <f t="shared" si="4"/>
        <v>-2000</v>
      </c>
      <c r="W134" s="228">
        <f t="shared" si="5"/>
        <v>-1</v>
      </c>
      <c r="X134" s="228"/>
    </row>
    <row r="135" spans="1:24" hidden="1" x14ac:dyDescent="0.25">
      <c r="A135" s="152" t="s">
        <v>223</v>
      </c>
      <c r="B135" s="110" t="s">
        <v>275</v>
      </c>
      <c r="C135" s="351"/>
      <c r="D135" s="350"/>
      <c r="E135" s="349"/>
      <c r="F135" s="276">
        <f>D135*E135</f>
        <v>0</v>
      </c>
      <c r="G135" s="35">
        <f>F135*C4</f>
        <v>0</v>
      </c>
      <c r="H135" s="239"/>
      <c r="I135" s="239"/>
      <c r="J135" s="239"/>
      <c r="K135" s="239"/>
      <c r="L135" s="239"/>
      <c r="M135" s="239"/>
      <c r="N135" s="239"/>
      <c r="O135" s="239"/>
      <c r="P135" s="239"/>
      <c r="Q135" s="250"/>
      <c r="R135" s="261"/>
      <c r="S135" s="222">
        <f t="shared" si="1"/>
        <v>0</v>
      </c>
      <c r="T135" s="228">
        <f t="shared" si="2"/>
        <v>0</v>
      </c>
      <c r="U135" s="222">
        <f t="shared" si="3"/>
        <v>0</v>
      </c>
      <c r="V135" s="222">
        <f t="shared" si="4"/>
        <v>0</v>
      </c>
      <c r="W135" s="228">
        <f t="shared" si="5"/>
        <v>0</v>
      </c>
      <c r="X135" s="228"/>
    </row>
    <row r="136" spans="1:24" hidden="1" x14ac:dyDescent="0.25">
      <c r="A136" s="152" t="s">
        <v>224</v>
      </c>
      <c r="B136" s="110" t="s">
        <v>276</v>
      </c>
      <c r="C136" s="351"/>
      <c r="D136" s="350"/>
      <c r="E136" s="349"/>
      <c r="F136" s="276">
        <f>D136*E136</f>
        <v>0</v>
      </c>
      <c r="G136" s="35">
        <f>F136*C4</f>
        <v>0</v>
      </c>
      <c r="H136" s="239"/>
      <c r="I136" s="239"/>
      <c r="J136" s="239"/>
      <c r="K136" s="239"/>
      <c r="L136" s="239"/>
      <c r="M136" s="239"/>
      <c r="N136" s="239"/>
      <c r="O136" s="239"/>
      <c r="P136" s="239"/>
      <c r="Q136" s="250"/>
      <c r="R136" s="261"/>
      <c r="S136" s="222">
        <f t="shared" si="1"/>
        <v>0</v>
      </c>
      <c r="T136" s="228">
        <f t="shared" si="2"/>
        <v>0</v>
      </c>
      <c r="U136" s="222">
        <f t="shared" si="3"/>
        <v>0</v>
      </c>
      <c r="V136" s="222">
        <f t="shared" si="4"/>
        <v>0</v>
      </c>
      <c r="W136" s="228">
        <f t="shared" si="5"/>
        <v>0</v>
      </c>
      <c r="X136" s="228"/>
    </row>
    <row r="137" spans="1:24" x14ac:dyDescent="0.25">
      <c r="A137" s="217" t="s">
        <v>105</v>
      </c>
      <c r="B137" s="218" t="s">
        <v>58</v>
      </c>
      <c r="C137" s="398"/>
      <c r="D137" s="399"/>
      <c r="E137" s="400"/>
      <c r="F137" s="352">
        <f>SUM(F138:F142)</f>
        <v>0</v>
      </c>
      <c r="G137" s="212">
        <f>SUM(G138:G142)</f>
        <v>0</v>
      </c>
      <c r="H137" s="239"/>
      <c r="I137" s="239"/>
      <c r="J137" s="239"/>
      <c r="K137" s="239"/>
      <c r="L137" s="239"/>
      <c r="M137" s="239"/>
      <c r="N137" s="239"/>
      <c r="O137" s="239"/>
      <c r="P137" s="239"/>
      <c r="Q137" s="250"/>
      <c r="R137" s="261"/>
      <c r="S137" s="236">
        <f t="shared" si="1"/>
        <v>0</v>
      </c>
      <c r="T137" s="237">
        <f t="shared" si="2"/>
        <v>0</v>
      </c>
      <c r="U137" s="236">
        <f t="shared" si="3"/>
        <v>0</v>
      </c>
      <c r="V137" s="236">
        <f t="shared" si="4"/>
        <v>0</v>
      </c>
      <c r="W137" s="237">
        <f t="shared" si="5"/>
        <v>0</v>
      </c>
      <c r="X137" s="237"/>
    </row>
    <row r="138" spans="1:24" hidden="1" x14ac:dyDescent="0.25">
      <c r="A138" s="152" t="s">
        <v>225</v>
      </c>
      <c r="B138" s="110" t="s">
        <v>277</v>
      </c>
      <c r="C138" s="351"/>
      <c r="D138" s="350"/>
      <c r="E138" s="349"/>
      <c r="F138" s="276">
        <f>D138*E138</f>
        <v>0</v>
      </c>
      <c r="G138" s="35">
        <f>F138*C4</f>
        <v>0</v>
      </c>
      <c r="H138" s="239"/>
      <c r="I138" s="239"/>
      <c r="J138" s="239"/>
      <c r="K138" s="239"/>
      <c r="L138" s="239"/>
      <c r="M138" s="239"/>
      <c r="N138" s="239"/>
      <c r="O138" s="239"/>
      <c r="P138" s="239"/>
      <c r="Q138" s="250"/>
      <c r="R138" s="261"/>
      <c r="S138" s="222">
        <f t="shared" si="1"/>
        <v>0</v>
      </c>
      <c r="T138" s="228">
        <f t="shared" si="2"/>
        <v>0</v>
      </c>
      <c r="U138" s="222">
        <f t="shared" si="3"/>
        <v>0</v>
      </c>
      <c r="V138" s="222">
        <f t="shared" si="4"/>
        <v>0</v>
      </c>
      <c r="W138" s="228">
        <f t="shared" si="5"/>
        <v>0</v>
      </c>
      <c r="X138" s="228"/>
    </row>
    <row r="139" spans="1:24" hidden="1" x14ac:dyDescent="0.25">
      <c r="A139" s="152" t="s">
        <v>226</v>
      </c>
      <c r="B139" s="110" t="s">
        <v>278</v>
      </c>
      <c r="C139" s="351"/>
      <c r="D139" s="350"/>
      <c r="E139" s="349"/>
      <c r="F139" s="276">
        <f>D139*E139</f>
        <v>0</v>
      </c>
      <c r="G139" s="35">
        <f>F139*C4</f>
        <v>0</v>
      </c>
      <c r="H139" s="239"/>
      <c r="I139" s="239"/>
      <c r="J139" s="239"/>
      <c r="K139" s="239"/>
      <c r="L139" s="239"/>
      <c r="M139" s="239"/>
      <c r="N139" s="239"/>
      <c r="O139" s="239"/>
      <c r="P139" s="239"/>
      <c r="Q139" s="250"/>
      <c r="R139" s="261"/>
      <c r="S139" s="222">
        <f t="shared" si="1"/>
        <v>0</v>
      </c>
      <c r="T139" s="228">
        <f t="shared" si="2"/>
        <v>0</v>
      </c>
      <c r="U139" s="222">
        <f t="shared" si="3"/>
        <v>0</v>
      </c>
      <c r="V139" s="222">
        <f t="shared" si="4"/>
        <v>0</v>
      </c>
      <c r="W139" s="228">
        <f t="shared" si="5"/>
        <v>0</v>
      </c>
      <c r="X139" s="228"/>
    </row>
    <row r="140" spans="1:24" hidden="1" x14ac:dyDescent="0.25">
      <c r="A140" s="152" t="s">
        <v>227</v>
      </c>
      <c r="B140" s="110" t="s">
        <v>279</v>
      </c>
      <c r="C140" s="351"/>
      <c r="D140" s="350"/>
      <c r="E140" s="349"/>
      <c r="F140" s="276">
        <f>D140*E140</f>
        <v>0</v>
      </c>
      <c r="G140" s="35">
        <f>F140*C4</f>
        <v>0</v>
      </c>
      <c r="H140" s="239"/>
      <c r="I140" s="239"/>
      <c r="J140" s="239"/>
      <c r="K140" s="239"/>
      <c r="L140" s="239"/>
      <c r="M140" s="239"/>
      <c r="N140" s="239"/>
      <c r="O140" s="239"/>
      <c r="P140" s="239"/>
      <c r="Q140" s="250"/>
      <c r="R140" s="261"/>
      <c r="S140" s="222">
        <f t="shared" si="1"/>
        <v>0</v>
      </c>
      <c r="T140" s="228">
        <f t="shared" si="2"/>
        <v>0</v>
      </c>
      <c r="U140" s="222">
        <f t="shared" si="3"/>
        <v>0</v>
      </c>
      <c r="V140" s="222">
        <f t="shared" si="4"/>
        <v>0</v>
      </c>
      <c r="W140" s="228">
        <f t="shared" si="5"/>
        <v>0</v>
      </c>
      <c r="X140" s="228"/>
    </row>
    <row r="141" spans="1:24" hidden="1" x14ac:dyDescent="0.25">
      <c r="A141" s="152" t="s">
        <v>228</v>
      </c>
      <c r="B141" s="110" t="s">
        <v>280</v>
      </c>
      <c r="C141" s="351"/>
      <c r="D141" s="350"/>
      <c r="E141" s="349"/>
      <c r="F141" s="276">
        <f>D141*E141</f>
        <v>0</v>
      </c>
      <c r="G141" s="35">
        <f>F141*C4</f>
        <v>0</v>
      </c>
      <c r="H141" s="239"/>
      <c r="I141" s="239"/>
      <c r="J141" s="239"/>
      <c r="K141" s="239"/>
      <c r="L141" s="239"/>
      <c r="M141" s="239"/>
      <c r="N141" s="239"/>
      <c r="O141" s="239"/>
      <c r="P141" s="239"/>
      <c r="Q141" s="250"/>
      <c r="R141" s="261"/>
      <c r="S141" s="222">
        <f t="shared" si="1"/>
        <v>0</v>
      </c>
      <c r="T141" s="228">
        <f t="shared" si="2"/>
        <v>0</v>
      </c>
      <c r="U141" s="222">
        <f t="shared" si="3"/>
        <v>0</v>
      </c>
      <c r="V141" s="222">
        <f t="shared" si="4"/>
        <v>0</v>
      </c>
      <c r="W141" s="228">
        <f t="shared" si="5"/>
        <v>0</v>
      </c>
      <c r="X141" s="228"/>
    </row>
    <row r="142" spans="1:24" hidden="1" x14ac:dyDescent="0.25">
      <c r="A142" s="152" t="s">
        <v>229</v>
      </c>
      <c r="B142" s="110" t="s">
        <v>281</v>
      </c>
      <c r="C142" s="351"/>
      <c r="D142" s="350"/>
      <c r="E142" s="349"/>
      <c r="F142" s="276">
        <f>D142*E142</f>
        <v>0</v>
      </c>
      <c r="G142" s="35">
        <f>F142*C4</f>
        <v>0</v>
      </c>
      <c r="H142" s="239"/>
      <c r="I142" s="239"/>
      <c r="J142" s="239"/>
      <c r="K142" s="239"/>
      <c r="L142" s="239"/>
      <c r="M142" s="239"/>
      <c r="N142" s="239"/>
      <c r="O142" s="239"/>
      <c r="P142" s="239"/>
      <c r="Q142" s="250"/>
      <c r="R142" s="261"/>
      <c r="S142" s="222">
        <f t="shared" si="1"/>
        <v>0</v>
      </c>
      <c r="T142" s="228">
        <f t="shared" si="2"/>
        <v>0</v>
      </c>
      <c r="U142" s="222">
        <f t="shared" si="3"/>
        <v>0</v>
      </c>
      <c r="V142" s="222">
        <f t="shared" si="4"/>
        <v>0</v>
      </c>
      <c r="W142" s="228">
        <f t="shared" si="5"/>
        <v>0</v>
      </c>
      <c r="X142" s="228"/>
    </row>
    <row r="143" spans="1:24" x14ac:dyDescent="0.25">
      <c r="A143" s="217" t="s">
        <v>106</v>
      </c>
      <c r="B143" s="218" t="s">
        <v>57</v>
      </c>
      <c r="C143" s="398"/>
      <c r="D143" s="399"/>
      <c r="E143" s="400"/>
      <c r="F143" s="352">
        <f>SUM(F144:F149)</f>
        <v>316000000</v>
      </c>
      <c r="G143" s="212">
        <v>210666.67</v>
      </c>
      <c r="H143" s="239"/>
      <c r="I143" s="239"/>
      <c r="J143" s="239"/>
      <c r="K143" s="239"/>
      <c r="L143" s="239"/>
      <c r="M143" s="239"/>
      <c r="N143" s="239"/>
      <c r="O143" s="239"/>
      <c r="P143" s="239"/>
      <c r="Q143" s="250"/>
      <c r="R143" s="261"/>
      <c r="S143" s="236">
        <f t="shared" si="1"/>
        <v>-316000000</v>
      </c>
      <c r="T143" s="237">
        <f t="shared" si="2"/>
        <v>-1</v>
      </c>
      <c r="U143" s="236">
        <f t="shared" si="3"/>
        <v>0</v>
      </c>
      <c r="V143" s="236">
        <f t="shared" si="4"/>
        <v>-210666.67</v>
      </c>
      <c r="W143" s="237">
        <f t="shared" si="5"/>
        <v>-1</v>
      </c>
      <c r="X143" s="237"/>
    </row>
    <row r="144" spans="1:24" x14ac:dyDescent="0.25">
      <c r="A144" s="152" t="s">
        <v>230</v>
      </c>
      <c r="B144" s="110" t="s">
        <v>414</v>
      </c>
      <c r="C144" s="351" t="s">
        <v>415</v>
      </c>
      <c r="D144" s="350">
        <v>330</v>
      </c>
      <c r="E144" s="349">
        <v>500000</v>
      </c>
      <c r="F144" s="276">
        <f t="shared" ref="F144:F149" si="6">D144*E144</f>
        <v>165000000</v>
      </c>
      <c r="G144" s="35">
        <f t="shared" ref="G144:G149" si="7">F144/1500</f>
        <v>110000</v>
      </c>
      <c r="H144" s="239"/>
      <c r="I144" s="239"/>
      <c r="J144" s="239"/>
      <c r="K144" s="239"/>
      <c r="L144" s="239"/>
      <c r="M144" s="239"/>
      <c r="N144" s="239"/>
      <c r="O144" s="239"/>
      <c r="P144" s="239"/>
      <c r="Q144" s="250"/>
      <c r="R144" s="261"/>
      <c r="S144" s="222">
        <f t="shared" si="1"/>
        <v>-165000000</v>
      </c>
      <c r="T144" s="228">
        <f t="shared" si="2"/>
        <v>-1</v>
      </c>
      <c r="U144" s="222">
        <f t="shared" si="3"/>
        <v>0</v>
      </c>
      <c r="V144" s="222">
        <f t="shared" si="4"/>
        <v>-110000</v>
      </c>
      <c r="W144" s="228">
        <f t="shared" si="5"/>
        <v>-1</v>
      </c>
      <c r="X144" s="228"/>
    </row>
    <row r="145" spans="1:24" x14ac:dyDescent="0.25">
      <c r="A145" s="152" t="s">
        <v>231</v>
      </c>
      <c r="B145" s="110" t="s">
        <v>416</v>
      </c>
      <c r="C145" s="351" t="s">
        <v>415</v>
      </c>
      <c r="D145" s="350">
        <v>220</v>
      </c>
      <c r="E145" s="349">
        <v>400000</v>
      </c>
      <c r="F145" s="276">
        <f t="shared" si="6"/>
        <v>88000000</v>
      </c>
      <c r="G145" s="35">
        <f t="shared" si="7"/>
        <v>58666.666666666664</v>
      </c>
      <c r="H145" s="239"/>
      <c r="I145" s="239"/>
      <c r="J145" s="239"/>
      <c r="K145" s="239"/>
      <c r="L145" s="239"/>
      <c r="M145" s="239"/>
      <c r="N145" s="239"/>
      <c r="O145" s="239"/>
      <c r="P145" s="239"/>
      <c r="Q145" s="250"/>
      <c r="R145" s="261"/>
      <c r="S145" s="222">
        <f t="shared" si="1"/>
        <v>-88000000</v>
      </c>
      <c r="T145" s="228">
        <f t="shared" si="2"/>
        <v>-1</v>
      </c>
      <c r="U145" s="222">
        <f t="shared" si="3"/>
        <v>0</v>
      </c>
      <c r="V145" s="222">
        <f t="shared" si="4"/>
        <v>-58666.666666666664</v>
      </c>
      <c r="W145" s="228">
        <f t="shared" si="5"/>
        <v>-1</v>
      </c>
      <c r="X145" s="228"/>
    </row>
    <row r="146" spans="1:24" x14ac:dyDescent="0.25">
      <c r="A146" s="152" t="s">
        <v>232</v>
      </c>
      <c r="B146" s="110" t="s">
        <v>417</v>
      </c>
      <c r="C146" s="351" t="s">
        <v>415</v>
      </c>
      <c r="D146" s="350"/>
      <c r="E146" s="349"/>
      <c r="F146" s="276">
        <f t="shared" si="6"/>
        <v>0</v>
      </c>
      <c r="G146" s="35">
        <f t="shared" si="7"/>
        <v>0</v>
      </c>
      <c r="H146" s="239"/>
      <c r="I146" s="239"/>
      <c r="J146" s="239"/>
      <c r="K146" s="239"/>
      <c r="L146" s="239"/>
      <c r="M146" s="239"/>
      <c r="N146" s="239"/>
      <c r="O146" s="239"/>
      <c r="P146" s="239"/>
      <c r="Q146" s="250"/>
      <c r="R146" s="261"/>
      <c r="S146" s="222">
        <f t="shared" si="1"/>
        <v>0</v>
      </c>
      <c r="T146" s="228">
        <f t="shared" si="2"/>
        <v>0</v>
      </c>
      <c r="U146" s="222">
        <f t="shared" si="3"/>
        <v>0</v>
      </c>
      <c r="V146" s="222">
        <f t="shared" si="4"/>
        <v>0</v>
      </c>
      <c r="W146" s="228">
        <f t="shared" si="5"/>
        <v>0</v>
      </c>
      <c r="X146" s="228"/>
    </row>
    <row r="147" spans="1:24" x14ac:dyDescent="0.25">
      <c r="A147" s="152" t="s">
        <v>233</v>
      </c>
      <c r="B147" s="110" t="s">
        <v>418</v>
      </c>
      <c r="C147" s="351" t="s">
        <v>419</v>
      </c>
      <c r="D147" s="350">
        <v>2</v>
      </c>
      <c r="E147" s="349">
        <v>12000000</v>
      </c>
      <c r="F147" s="276">
        <f t="shared" si="6"/>
        <v>24000000</v>
      </c>
      <c r="G147" s="35">
        <f t="shared" si="7"/>
        <v>16000</v>
      </c>
      <c r="H147" s="239"/>
      <c r="I147" s="239"/>
      <c r="J147" s="239"/>
      <c r="K147" s="239"/>
      <c r="L147" s="239"/>
      <c r="M147" s="239"/>
      <c r="N147" s="239"/>
      <c r="O147" s="239"/>
      <c r="P147" s="239"/>
      <c r="Q147" s="250"/>
      <c r="R147" s="261"/>
      <c r="S147" s="222">
        <f t="shared" si="1"/>
        <v>-24000000</v>
      </c>
      <c r="T147" s="228">
        <f t="shared" si="2"/>
        <v>-1</v>
      </c>
      <c r="U147" s="222">
        <f t="shared" si="3"/>
        <v>0</v>
      </c>
      <c r="V147" s="222">
        <f t="shared" si="4"/>
        <v>-16000</v>
      </c>
      <c r="W147" s="228">
        <f t="shared" si="5"/>
        <v>-1</v>
      </c>
      <c r="X147" s="228"/>
    </row>
    <row r="148" spans="1:24" x14ac:dyDescent="0.25">
      <c r="A148" s="152" t="s">
        <v>234</v>
      </c>
      <c r="B148" s="110" t="s">
        <v>420</v>
      </c>
      <c r="C148" s="351" t="s">
        <v>410</v>
      </c>
      <c r="D148" s="350"/>
      <c r="E148" s="349"/>
      <c r="F148" s="276">
        <f t="shared" si="6"/>
        <v>0</v>
      </c>
      <c r="H148" s="239"/>
      <c r="I148" s="239"/>
      <c r="J148" s="239"/>
      <c r="K148" s="239"/>
      <c r="L148" s="239"/>
      <c r="M148" s="239"/>
      <c r="N148" s="239"/>
      <c r="O148" s="239"/>
      <c r="P148" s="239"/>
      <c r="Q148" s="250"/>
      <c r="R148" s="261"/>
      <c r="S148" s="222">
        <f t="shared" si="1"/>
        <v>0</v>
      </c>
      <c r="T148" s="228">
        <f t="shared" si="2"/>
        <v>0</v>
      </c>
      <c r="U148" s="222">
        <f t="shared" si="3"/>
        <v>0</v>
      </c>
      <c r="V148" s="222">
        <f t="shared" si="4"/>
        <v>0</v>
      </c>
      <c r="W148" s="228">
        <f t="shared" si="5"/>
        <v>0</v>
      </c>
      <c r="X148" s="228"/>
    </row>
    <row r="149" spans="1:24" x14ac:dyDescent="0.25">
      <c r="A149" s="152"/>
      <c r="B149" s="110" t="s">
        <v>421</v>
      </c>
      <c r="C149" s="351" t="s">
        <v>422</v>
      </c>
      <c r="D149" s="350">
        <v>2</v>
      </c>
      <c r="E149" s="349">
        <v>19500000</v>
      </c>
      <c r="F149" s="276">
        <f t="shared" si="6"/>
        <v>39000000</v>
      </c>
      <c r="G149" s="35">
        <f t="shared" si="7"/>
        <v>26000</v>
      </c>
      <c r="H149" s="239"/>
      <c r="I149" s="239"/>
      <c r="J149" s="239"/>
      <c r="K149" s="239"/>
      <c r="L149" s="239"/>
      <c r="M149" s="239"/>
      <c r="N149" s="239"/>
      <c r="O149" s="239"/>
      <c r="P149" s="239"/>
      <c r="Q149" s="250"/>
      <c r="R149" s="261"/>
      <c r="S149" s="222">
        <f t="shared" si="1"/>
        <v>-39000000</v>
      </c>
      <c r="T149" s="228">
        <f t="shared" si="2"/>
        <v>-1</v>
      </c>
      <c r="U149" s="222"/>
      <c r="V149" s="222"/>
      <c r="W149" s="228"/>
      <c r="X149" s="228"/>
    </row>
    <row r="150" spans="1:24" x14ac:dyDescent="0.25">
      <c r="A150" s="217" t="s">
        <v>107</v>
      </c>
      <c r="B150" s="218" t="s">
        <v>74</v>
      </c>
      <c r="C150" s="398"/>
      <c r="D150" s="399"/>
      <c r="E150" s="400"/>
      <c r="F150" s="276">
        <v>0</v>
      </c>
      <c r="G150" s="81">
        <v>0</v>
      </c>
      <c r="H150" s="239"/>
      <c r="I150" s="239"/>
      <c r="J150" s="239"/>
      <c r="K150" s="239"/>
      <c r="L150" s="239"/>
      <c r="M150" s="239"/>
      <c r="N150" s="239"/>
      <c r="O150" s="239"/>
      <c r="P150" s="239"/>
      <c r="Q150" s="250"/>
      <c r="R150" s="261"/>
      <c r="S150" s="236">
        <f t="shared" si="1"/>
        <v>0</v>
      </c>
      <c r="T150" s="237">
        <f t="shared" si="2"/>
        <v>0</v>
      </c>
      <c r="U150" s="236">
        <f t="shared" si="3"/>
        <v>0</v>
      </c>
      <c r="V150" s="236">
        <f t="shared" si="4"/>
        <v>0</v>
      </c>
      <c r="W150" s="237">
        <f t="shared" si="5"/>
        <v>0</v>
      </c>
      <c r="X150" s="237"/>
    </row>
    <row r="151" spans="1:24" hidden="1" x14ac:dyDescent="0.25">
      <c r="A151" s="152" t="s">
        <v>235</v>
      </c>
      <c r="B151" s="110" t="s">
        <v>287</v>
      </c>
      <c r="C151" s="351"/>
      <c r="D151" s="350"/>
      <c r="E151" s="349"/>
      <c r="F151" s="276">
        <f>D151*E151</f>
        <v>0</v>
      </c>
      <c r="G151" s="35">
        <f>F151*C4</f>
        <v>0</v>
      </c>
      <c r="H151" s="239"/>
      <c r="I151" s="239"/>
      <c r="J151" s="239"/>
      <c r="K151" s="239"/>
      <c r="L151" s="239"/>
      <c r="M151" s="239"/>
      <c r="N151" s="239"/>
      <c r="O151" s="239"/>
      <c r="P151" s="239"/>
      <c r="Q151" s="250"/>
      <c r="R151" s="261"/>
      <c r="S151" s="222">
        <f t="shared" si="1"/>
        <v>0</v>
      </c>
      <c r="T151" s="228">
        <f t="shared" si="2"/>
        <v>0</v>
      </c>
      <c r="U151" s="222">
        <f t="shared" si="3"/>
        <v>0</v>
      </c>
      <c r="V151" s="222">
        <f t="shared" si="4"/>
        <v>0</v>
      </c>
      <c r="W151" s="228">
        <f t="shared" si="5"/>
        <v>0</v>
      </c>
      <c r="X151" s="228"/>
    </row>
    <row r="152" spans="1:24" hidden="1" x14ac:dyDescent="0.25">
      <c r="A152" s="152" t="s">
        <v>236</v>
      </c>
      <c r="B152" s="110" t="s">
        <v>288</v>
      </c>
      <c r="C152" s="351"/>
      <c r="D152" s="350"/>
      <c r="E152" s="349"/>
      <c r="F152" s="276">
        <f>D152*E152</f>
        <v>0</v>
      </c>
      <c r="G152" s="35">
        <f>F152*C4</f>
        <v>0</v>
      </c>
      <c r="H152" s="239"/>
      <c r="I152" s="239"/>
      <c r="J152" s="239"/>
      <c r="K152" s="239"/>
      <c r="L152" s="239"/>
      <c r="M152" s="239"/>
      <c r="N152" s="239"/>
      <c r="O152" s="239"/>
      <c r="P152" s="239"/>
      <c r="Q152" s="250"/>
      <c r="R152" s="261"/>
      <c r="S152" s="222">
        <f t="shared" ref="S152:S217" si="8">R152-F152</f>
        <v>0</v>
      </c>
      <c r="T152" s="228">
        <f t="shared" ref="T152:T217" si="9">IF(F152=0,0,S152/F152)</f>
        <v>0</v>
      </c>
      <c r="U152" s="222">
        <f t="shared" ref="U152:U217" si="10">R152*$C$4</f>
        <v>0</v>
      </c>
      <c r="V152" s="222">
        <f t="shared" ref="V152:V217" si="11">U152-G152</f>
        <v>0</v>
      </c>
      <c r="W152" s="228">
        <f t="shared" ref="W152:W217" si="12">IF(G152=0,0,V152/G152)</f>
        <v>0</v>
      </c>
      <c r="X152" s="228"/>
    </row>
    <row r="153" spans="1:24" hidden="1" x14ac:dyDescent="0.25">
      <c r="A153" s="152" t="s">
        <v>237</v>
      </c>
      <c r="B153" s="110" t="s">
        <v>289</v>
      </c>
      <c r="C153" s="351"/>
      <c r="D153" s="350"/>
      <c r="E153" s="349"/>
      <c r="F153" s="276">
        <f>D153*E153</f>
        <v>0</v>
      </c>
      <c r="G153" s="35">
        <f>F153*C4</f>
        <v>0</v>
      </c>
      <c r="H153" s="239"/>
      <c r="I153" s="239"/>
      <c r="J153" s="239"/>
      <c r="K153" s="239"/>
      <c r="L153" s="239"/>
      <c r="M153" s="239"/>
      <c r="N153" s="239"/>
      <c r="O153" s="239"/>
      <c r="P153" s="239"/>
      <c r="Q153" s="250"/>
      <c r="R153" s="261"/>
      <c r="S153" s="222">
        <f t="shared" si="8"/>
        <v>0</v>
      </c>
      <c r="T153" s="228">
        <f t="shared" si="9"/>
        <v>0</v>
      </c>
      <c r="U153" s="222">
        <f t="shared" si="10"/>
        <v>0</v>
      </c>
      <c r="V153" s="222">
        <f t="shared" si="11"/>
        <v>0</v>
      </c>
      <c r="W153" s="228">
        <f t="shared" si="12"/>
        <v>0</v>
      </c>
      <c r="X153" s="228"/>
    </row>
    <row r="154" spans="1:24" hidden="1" x14ac:dyDescent="0.25">
      <c r="A154" s="152" t="s">
        <v>238</v>
      </c>
      <c r="B154" s="110" t="s">
        <v>290</v>
      </c>
      <c r="C154" s="351"/>
      <c r="D154" s="350"/>
      <c r="E154" s="349"/>
      <c r="F154" s="276">
        <f>D154*E154</f>
        <v>0</v>
      </c>
      <c r="G154" s="35">
        <f>F154*C4</f>
        <v>0</v>
      </c>
      <c r="H154" s="239"/>
      <c r="I154" s="239"/>
      <c r="J154" s="239"/>
      <c r="K154" s="239"/>
      <c r="L154" s="239"/>
      <c r="M154" s="239"/>
      <c r="N154" s="239"/>
      <c r="O154" s="239"/>
      <c r="P154" s="239"/>
      <c r="Q154" s="250"/>
      <c r="R154" s="261"/>
      <c r="S154" s="222">
        <f t="shared" si="8"/>
        <v>0</v>
      </c>
      <c r="T154" s="228">
        <f t="shared" si="9"/>
        <v>0</v>
      </c>
      <c r="U154" s="222">
        <f t="shared" si="10"/>
        <v>0</v>
      </c>
      <c r="V154" s="222">
        <f t="shared" si="11"/>
        <v>0</v>
      </c>
      <c r="W154" s="228">
        <f t="shared" si="12"/>
        <v>0</v>
      </c>
      <c r="X154" s="228"/>
    </row>
    <row r="155" spans="1:24" hidden="1" x14ac:dyDescent="0.25">
      <c r="A155" s="152" t="s">
        <v>239</v>
      </c>
      <c r="B155" s="110" t="s">
        <v>291</v>
      </c>
      <c r="C155" s="351"/>
      <c r="D155" s="350"/>
      <c r="E155" s="349"/>
      <c r="F155" s="276">
        <f>D155*E155</f>
        <v>0</v>
      </c>
      <c r="G155" s="35">
        <f>F155*C4</f>
        <v>0</v>
      </c>
      <c r="H155" s="239"/>
      <c r="I155" s="239"/>
      <c r="J155" s="239"/>
      <c r="K155" s="239"/>
      <c r="L155" s="239"/>
      <c r="M155" s="239"/>
      <c r="N155" s="239"/>
      <c r="O155" s="239"/>
      <c r="P155" s="239"/>
      <c r="Q155" s="250"/>
      <c r="R155" s="261"/>
      <c r="S155" s="222">
        <f t="shared" si="8"/>
        <v>0</v>
      </c>
      <c r="T155" s="228">
        <f t="shared" si="9"/>
        <v>0</v>
      </c>
      <c r="U155" s="222">
        <f t="shared" si="10"/>
        <v>0</v>
      </c>
      <c r="V155" s="222">
        <f t="shared" si="11"/>
        <v>0</v>
      </c>
      <c r="W155" s="228">
        <f t="shared" si="12"/>
        <v>0</v>
      </c>
      <c r="X155" s="228"/>
    </row>
    <row r="156" spans="1:24" x14ac:dyDescent="0.25">
      <c r="A156" s="217" t="s">
        <v>108</v>
      </c>
      <c r="B156" s="218" t="s">
        <v>75</v>
      </c>
      <c r="C156" s="398"/>
      <c r="D156" s="399"/>
      <c r="E156" s="400"/>
      <c r="F156" s="352">
        <f>SUM(F157:F161)</f>
        <v>0</v>
      </c>
      <c r="G156" s="212">
        <f>SUM(G157:G161)</f>
        <v>0</v>
      </c>
      <c r="H156" s="239"/>
      <c r="I156" s="239"/>
      <c r="J156" s="239"/>
      <c r="K156" s="239"/>
      <c r="L156" s="239"/>
      <c r="M156" s="239"/>
      <c r="N156" s="239"/>
      <c r="O156" s="239"/>
      <c r="P156" s="239"/>
      <c r="Q156" s="250"/>
      <c r="R156" s="261"/>
      <c r="S156" s="236">
        <f t="shared" si="8"/>
        <v>0</v>
      </c>
      <c r="T156" s="237">
        <f t="shared" si="9"/>
        <v>0</v>
      </c>
      <c r="U156" s="236">
        <f t="shared" si="10"/>
        <v>0</v>
      </c>
      <c r="V156" s="236">
        <f t="shared" si="11"/>
        <v>0</v>
      </c>
      <c r="W156" s="237">
        <f t="shared" si="12"/>
        <v>0</v>
      </c>
      <c r="X156" s="237"/>
    </row>
    <row r="157" spans="1:24" hidden="1" x14ac:dyDescent="0.25">
      <c r="A157" s="157" t="s">
        <v>240</v>
      </c>
      <c r="B157" s="110" t="s">
        <v>292</v>
      </c>
      <c r="C157" s="351"/>
      <c r="D157" s="350"/>
      <c r="E157" s="349"/>
      <c r="F157" s="276">
        <f>D157*E157</f>
        <v>0</v>
      </c>
      <c r="G157" s="35">
        <f>F157*C4</f>
        <v>0</v>
      </c>
      <c r="H157" s="239"/>
      <c r="I157" s="239"/>
      <c r="J157" s="239"/>
      <c r="K157" s="239"/>
      <c r="L157" s="239"/>
      <c r="M157" s="239"/>
      <c r="N157" s="239"/>
      <c r="O157" s="239"/>
      <c r="P157" s="239"/>
      <c r="Q157" s="250"/>
      <c r="R157" s="261"/>
      <c r="S157" s="222">
        <f t="shared" si="8"/>
        <v>0</v>
      </c>
      <c r="T157" s="228">
        <f t="shared" si="9"/>
        <v>0</v>
      </c>
      <c r="U157" s="222">
        <f t="shared" si="10"/>
        <v>0</v>
      </c>
      <c r="V157" s="222">
        <f t="shared" si="11"/>
        <v>0</v>
      </c>
      <c r="W157" s="228">
        <f t="shared" si="12"/>
        <v>0</v>
      </c>
      <c r="X157" s="228"/>
    </row>
    <row r="158" spans="1:24" hidden="1" x14ac:dyDescent="0.25">
      <c r="A158" s="157" t="s">
        <v>241</v>
      </c>
      <c r="B158" s="110" t="s">
        <v>293</v>
      </c>
      <c r="C158" s="351"/>
      <c r="D158" s="350"/>
      <c r="E158" s="349"/>
      <c r="F158" s="276">
        <f>D158*E158</f>
        <v>0</v>
      </c>
      <c r="G158" s="35">
        <f>F158*C4</f>
        <v>0</v>
      </c>
      <c r="H158" s="239"/>
      <c r="I158" s="239"/>
      <c r="J158" s="239"/>
      <c r="K158" s="239"/>
      <c r="L158" s="239"/>
      <c r="M158" s="239"/>
      <c r="N158" s="239"/>
      <c r="O158" s="239"/>
      <c r="P158" s="239"/>
      <c r="Q158" s="250"/>
      <c r="R158" s="261"/>
      <c r="S158" s="222">
        <f t="shared" si="8"/>
        <v>0</v>
      </c>
      <c r="T158" s="228">
        <f t="shared" si="9"/>
        <v>0</v>
      </c>
      <c r="U158" s="222">
        <f t="shared" si="10"/>
        <v>0</v>
      </c>
      <c r="V158" s="222">
        <f t="shared" si="11"/>
        <v>0</v>
      </c>
      <c r="W158" s="228">
        <f t="shared" si="12"/>
        <v>0</v>
      </c>
      <c r="X158" s="228"/>
    </row>
    <row r="159" spans="1:24" hidden="1" x14ac:dyDescent="0.25">
      <c r="A159" s="157" t="s">
        <v>242</v>
      </c>
      <c r="B159" s="110" t="s">
        <v>294</v>
      </c>
      <c r="C159" s="351"/>
      <c r="D159" s="350"/>
      <c r="E159" s="349"/>
      <c r="F159" s="276">
        <f>D159*E159</f>
        <v>0</v>
      </c>
      <c r="G159" s="35">
        <f>F159*C4</f>
        <v>0</v>
      </c>
      <c r="H159" s="239"/>
      <c r="I159" s="239"/>
      <c r="J159" s="239"/>
      <c r="K159" s="239"/>
      <c r="L159" s="239"/>
      <c r="M159" s="239"/>
      <c r="N159" s="239"/>
      <c r="O159" s="239"/>
      <c r="P159" s="239"/>
      <c r="Q159" s="250"/>
      <c r="R159" s="261"/>
      <c r="S159" s="222">
        <f t="shared" si="8"/>
        <v>0</v>
      </c>
      <c r="T159" s="228">
        <f t="shared" si="9"/>
        <v>0</v>
      </c>
      <c r="U159" s="222">
        <f t="shared" si="10"/>
        <v>0</v>
      </c>
      <c r="V159" s="222">
        <f t="shared" si="11"/>
        <v>0</v>
      </c>
      <c r="W159" s="228">
        <f t="shared" si="12"/>
        <v>0</v>
      </c>
      <c r="X159" s="228"/>
    </row>
    <row r="160" spans="1:24" hidden="1" x14ac:dyDescent="0.25">
      <c r="A160" s="157" t="s">
        <v>243</v>
      </c>
      <c r="B160" s="110" t="s">
        <v>295</v>
      </c>
      <c r="C160" s="351"/>
      <c r="D160" s="350"/>
      <c r="E160" s="349"/>
      <c r="F160" s="276">
        <f>D160*E160</f>
        <v>0</v>
      </c>
      <c r="G160" s="35">
        <f>F160*C4</f>
        <v>0</v>
      </c>
      <c r="H160" s="239"/>
      <c r="I160" s="239"/>
      <c r="J160" s="239"/>
      <c r="K160" s="239"/>
      <c r="L160" s="239"/>
      <c r="M160" s="239"/>
      <c r="N160" s="239"/>
      <c r="O160" s="239"/>
      <c r="P160" s="239"/>
      <c r="Q160" s="250"/>
      <c r="R160" s="261"/>
      <c r="S160" s="222">
        <f t="shared" si="8"/>
        <v>0</v>
      </c>
      <c r="T160" s="228">
        <f t="shared" si="9"/>
        <v>0</v>
      </c>
      <c r="U160" s="222">
        <f t="shared" si="10"/>
        <v>0</v>
      </c>
      <c r="V160" s="222">
        <f t="shared" si="11"/>
        <v>0</v>
      </c>
      <c r="W160" s="228">
        <f t="shared" si="12"/>
        <v>0</v>
      </c>
      <c r="X160" s="228"/>
    </row>
    <row r="161" spans="1:24" hidden="1" x14ac:dyDescent="0.25">
      <c r="A161" s="157" t="s">
        <v>244</v>
      </c>
      <c r="B161" s="110" t="s">
        <v>296</v>
      </c>
      <c r="C161" s="351"/>
      <c r="D161" s="350"/>
      <c r="E161" s="349"/>
      <c r="F161" s="276">
        <f>D161*E161</f>
        <v>0</v>
      </c>
      <c r="G161" s="35">
        <f>F161*C4</f>
        <v>0</v>
      </c>
      <c r="H161" s="239"/>
      <c r="I161" s="239"/>
      <c r="J161" s="239"/>
      <c r="K161" s="239"/>
      <c r="L161" s="239"/>
      <c r="M161" s="239"/>
      <c r="N161" s="239"/>
      <c r="O161" s="239"/>
      <c r="P161" s="239"/>
      <c r="Q161" s="250"/>
      <c r="R161" s="261"/>
      <c r="S161" s="222">
        <f t="shared" si="8"/>
        <v>0</v>
      </c>
      <c r="T161" s="228">
        <f t="shared" si="9"/>
        <v>0</v>
      </c>
      <c r="U161" s="222">
        <f t="shared" si="10"/>
        <v>0</v>
      </c>
      <c r="V161" s="222">
        <f t="shared" si="11"/>
        <v>0</v>
      </c>
      <c r="W161" s="228">
        <f t="shared" si="12"/>
        <v>0</v>
      </c>
      <c r="X161" s="228"/>
    </row>
    <row r="162" spans="1:24" x14ac:dyDescent="0.25">
      <c r="A162" s="217" t="s">
        <v>109</v>
      </c>
      <c r="B162" s="218" t="s">
        <v>423</v>
      </c>
      <c r="C162" s="398"/>
      <c r="D162" s="399"/>
      <c r="E162" s="400"/>
      <c r="F162" s="352">
        <f>SUM(F163:F167)</f>
        <v>0</v>
      </c>
      <c r="G162" s="212">
        <f>SUM(G163:G167)</f>
        <v>0</v>
      </c>
      <c r="H162" s="239"/>
      <c r="I162" s="239"/>
      <c r="J162" s="239"/>
      <c r="K162" s="239"/>
      <c r="L162" s="239"/>
      <c r="M162" s="239"/>
      <c r="N162" s="239"/>
      <c r="O162" s="239"/>
      <c r="P162" s="239"/>
      <c r="Q162" s="250"/>
      <c r="R162" s="261"/>
      <c r="S162" s="236">
        <f t="shared" si="8"/>
        <v>0</v>
      </c>
      <c r="T162" s="237">
        <f t="shared" si="9"/>
        <v>0</v>
      </c>
      <c r="U162" s="236">
        <f t="shared" si="10"/>
        <v>0</v>
      </c>
      <c r="V162" s="236">
        <f t="shared" si="11"/>
        <v>0</v>
      </c>
      <c r="W162" s="237">
        <f t="shared" si="12"/>
        <v>0</v>
      </c>
      <c r="X162" s="237"/>
    </row>
    <row r="163" spans="1:24" hidden="1" x14ac:dyDescent="0.25">
      <c r="A163" s="152" t="s">
        <v>245</v>
      </c>
      <c r="B163" s="110" t="s">
        <v>297</v>
      </c>
      <c r="C163" s="351"/>
      <c r="D163" s="350"/>
      <c r="E163" s="349"/>
      <c r="F163" s="276">
        <f>D163*E163</f>
        <v>0</v>
      </c>
      <c r="G163" s="35">
        <f>F163*C4</f>
        <v>0</v>
      </c>
      <c r="H163" s="239"/>
      <c r="I163" s="239"/>
      <c r="J163" s="239"/>
      <c r="K163" s="239"/>
      <c r="L163" s="239"/>
      <c r="M163" s="239"/>
      <c r="N163" s="239"/>
      <c r="O163" s="239"/>
      <c r="P163" s="239"/>
      <c r="Q163" s="250"/>
      <c r="R163" s="261"/>
      <c r="S163" s="222">
        <f t="shared" si="8"/>
        <v>0</v>
      </c>
      <c r="T163" s="228">
        <f t="shared" si="9"/>
        <v>0</v>
      </c>
      <c r="U163" s="222">
        <f t="shared" si="10"/>
        <v>0</v>
      </c>
      <c r="V163" s="222">
        <f t="shared" si="11"/>
        <v>0</v>
      </c>
      <c r="W163" s="228">
        <f t="shared" si="12"/>
        <v>0</v>
      </c>
      <c r="X163" s="228"/>
    </row>
    <row r="164" spans="1:24" hidden="1" x14ac:dyDescent="0.25">
      <c r="A164" s="152" t="s">
        <v>246</v>
      </c>
      <c r="B164" s="110" t="s">
        <v>301</v>
      </c>
      <c r="C164" s="351"/>
      <c r="D164" s="350"/>
      <c r="E164" s="349"/>
      <c r="F164" s="276">
        <f>D164*E164</f>
        <v>0</v>
      </c>
      <c r="G164" s="35">
        <f>F164*C4</f>
        <v>0</v>
      </c>
      <c r="H164" s="239"/>
      <c r="I164" s="239"/>
      <c r="J164" s="239"/>
      <c r="K164" s="239"/>
      <c r="L164" s="239"/>
      <c r="M164" s="239"/>
      <c r="N164" s="239"/>
      <c r="O164" s="239"/>
      <c r="P164" s="239"/>
      <c r="Q164" s="250"/>
      <c r="R164" s="261"/>
      <c r="S164" s="222">
        <f t="shared" si="8"/>
        <v>0</v>
      </c>
      <c r="T164" s="228">
        <f t="shared" si="9"/>
        <v>0</v>
      </c>
      <c r="U164" s="222">
        <f t="shared" si="10"/>
        <v>0</v>
      </c>
      <c r="V164" s="222">
        <f t="shared" si="11"/>
        <v>0</v>
      </c>
      <c r="W164" s="228">
        <f t="shared" si="12"/>
        <v>0</v>
      </c>
      <c r="X164" s="228"/>
    </row>
    <row r="165" spans="1:24" hidden="1" x14ac:dyDescent="0.25">
      <c r="A165" s="152" t="s">
        <v>247</v>
      </c>
      <c r="B165" s="110" t="s">
        <v>300</v>
      </c>
      <c r="C165" s="351"/>
      <c r="D165" s="350"/>
      <c r="E165" s="349"/>
      <c r="F165" s="276">
        <f>D165*E165</f>
        <v>0</v>
      </c>
      <c r="G165" s="35">
        <f>F165*C4</f>
        <v>0</v>
      </c>
      <c r="H165" s="239"/>
      <c r="I165" s="239"/>
      <c r="J165" s="239"/>
      <c r="K165" s="239"/>
      <c r="L165" s="239"/>
      <c r="M165" s="239"/>
      <c r="N165" s="239"/>
      <c r="O165" s="239"/>
      <c r="P165" s="239"/>
      <c r="Q165" s="250"/>
      <c r="R165" s="261"/>
      <c r="S165" s="222">
        <f t="shared" si="8"/>
        <v>0</v>
      </c>
      <c r="T165" s="228">
        <f t="shared" si="9"/>
        <v>0</v>
      </c>
      <c r="U165" s="222">
        <f t="shared" si="10"/>
        <v>0</v>
      </c>
      <c r="V165" s="222">
        <f t="shared" si="11"/>
        <v>0</v>
      </c>
      <c r="W165" s="228">
        <f t="shared" si="12"/>
        <v>0</v>
      </c>
      <c r="X165" s="228"/>
    </row>
    <row r="166" spans="1:24" hidden="1" x14ac:dyDescent="0.25">
      <c r="A166" s="152" t="s">
        <v>248</v>
      </c>
      <c r="B166" s="110" t="s">
        <v>299</v>
      </c>
      <c r="C166" s="351"/>
      <c r="D166" s="350"/>
      <c r="E166" s="349"/>
      <c r="F166" s="276">
        <f>D166*E166</f>
        <v>0</v>
      </c>
      <c r="G166" s="35">
        <f>F166*C4</f>
        <v>0</v>
      </c>
      <c r="H166" s="239"/>
      <c r="I166" s="239"/>
      <c r="J166" s="239"/>
      <c r="K166" s="239"/>
      <c r="L166" s="239"/>
      <c r="M166" s="239"/>
      <c r="N166" s="239"/>
      <c r="O166" s="239"/>
      <c r="P166" s="239"/>
      <c r="Q166" s="250"/>
      <c r="R166" s="261"/>
      <c r="S166" s="222">
        <f t="shared" si="8"/>
        <v>0</v>
      </c>
      <c r="T166" s="228">
        <f t="shared" si="9"/>
        <v>0</v>
      </c>
      <c r="U166" s="222">
        <f t="shared" si="10"/>
        <v>0</v>
      </c>
      <c r="V166" s="222">
        <f t="shared" si="11"/>
        <v>0</v>
      </c>
      <c r="W166" s="228">
        <f t="shared" si="12"/>
        <v>0</v>
      </c>
      <c r="X166" s="228"/>
    </row>
    <row r="167" spans="1:24" hidden="1" x14ac:dyDescent="0.25">
      <c r="A167" s="152" t="s">
        <v>249</v>
      </c>
      <c r="B167" s="110" t="s">
        <v>298</v>
      </c>
      <c r="C167" s="351"/>
      <c r="D167" s="350"/>
      <c r="E167" s="349"/>
      <c r="F167" s="276">
        <f>D167*E167</f>
        <v>0</v>
      </c>
      <c r="G167" s="35">
        <f>F167*C4</f>
        <v>0</v>
      </c>
      <c r="H167" s="239"/>
      <c r="I167" s="239"/>
      <c r="J167" s="239"/>
      <c r="K167" s="239"/>
      <c r="L167" s="239"/>
      <c r="M167" s="239"/>
      <c r="N167" s="239"/>
      <c r="O167" s="239"/>
      <c r="P167" s="239"/>
      <c r="Q167" s="250"/>
      <c r="R167" s="261"/>
      <c r="S167" s="222">
        <f t="shared" si="8"/>
        <v>0</v>
      </c>
      <c r="T167" s="228">
        <f t="shared" si="9"/>
        <v>0</v>
      </c>
      <c r="U167" s="222">
        <f t="shared" si="10"/>
        <v>0</v>
      </c>
      <c r="V167" s="222">
        <f t="shared" si="11"/>
        <v>0</v>
      </c>
      <c r="W167" s="228">
        <f t="shared" si="12"/>
        <v>0</v>
      </c>
      <c r="X167" s="228"/>
    </row>
    <row r="168" spans="1:24" x14ac:dyDescent="0.25">
      <c r="B168" s="153"/>
      <c r="C168" s="348"/>
      <c r="D168" s="347"/>
      <c r="E168" s="346"/>
      <c r="F168" s="276"/>
      <c r="H168" s="239"/>
      <c r="I168" s="239"/>
      <c r="J168" s="239"/>
      <c r="K168" s="239"/>
      <c r="L168" s="239"/>
      <c r="M168" s="239"/>
      <c r="N168" s="239"/>
      <c r="O168" s="239"/>
      <c r="P168" s="239"/>
      <c r="Q168" s="250"/>
      <c r="R168" s="256"/>
      <c r="S168" s="222"/>
      <c r="T168" s="228"/>
      <c r="U168" s="222"/>
      <c r="V168" s="222"/>
      <c r="W168" s="228"/>
      <c r="X168" s="228"/>
    </row>
    <row r="169" spans="1:24" ht="13.8" thickBot="1" x14ac:dyDescent="0.3">
      <c r="A169" s="103"/>
      <c r="B169" s="150" t="s">
        <v>130</v>
      </c>
      <c r="C169" s="294"/>
      <c r="D169" s="293"/>
      <c r="E169" s="292"/>
      <c r="F169" s="316">
        <f>F143+F131+F137+F119+F113+F107</f>
        <v>499000000</v>
      </c>
      <c r="G169" s="316">
        <f>G143+G131+G137+G119+G113+G107</f>
        <v>332666.67000000004</v>
      </c>
      <c r="H169" s="286"/>
      <c r="I169" s="286"/>
      <c r="J169" s="286"/>
      <c r="K169" s="286"/>
      <c r="L169" s="286"/>
      <c r="M169" s="286"/>
      <c r="N169" s="286"/>
      <c r="O169" s="286"/>
      <c r="P169" s="286"/>
      <c r="Q169" s="312"/>
      <c r="R169" s="311"/>
      <c r="S169" s="234">
        <f t="shared" si="8"/>
        <v>-499000000</v>
      </c>
      <c r="T169" s="235">
        <f t="shared" si="9"/>
        <v>-1</v>
      </c>
      <c r="U169" s="234">
        <f t="shared" si="10"/>
        <v>0</v>
      </c>
      <c r="V169" s="234">
        <f t="shared" si="11"/>
        <v>-332666.67000000004</v>
      </c>
      <c r="W169" s="235">
        <f t="shared" si="12"/>
        <v>-1</v>
      </c>
      <c r="X169" s="235"/>
    </row>
    <row r="170" spans="1:24" ht="13.8" thickTop="1" x14ac:dyDescent="0.25">
      <c r="C170" s="83"/>
      <c r="D170" s="267"/>
      <c r="E170" s="266"/>
      <c r="G170" s="276"/>
      <c r="H170" s="345"/>
      <c r="I170" s="345"/>
      <c r="J170" s="345"/>
      <c r="K170" s="345"/>
      <c r="L170" s="345"/>
      <c r="M170" s="345"/>
      <c r="N170" s="345"/>
      <c r="O170" s="345"/>
      <c r="P170" s="345"/>
      <c r="Q170" s="344"/>
      <c r="R170" s="343"/>
      <c r="S170" s="222"/>
      <c r="T170" s="228"/>
      <c r="U170" s="222"/>
      <c r="V170" s="222"/>
      <c r="W170" s="228"/>
      <c r="X170" s="228"/>
    </row>
    <row r="171" spans="1:24" x14ac:dyDescent="0.25">
      <c r="A171" s="129">
        <v>3</v>
      </c>
      <c r="B171" s="130" t="s">
        <v>133</v>
      </c>
      <c r="C171" s="329"/>
      <c r="D171" s="328"/>
      <c r="E171" s="327"/>
      <c r="F171" s="327"/>
      <c r="G171" s="151"/>
      <c r="H171" s="238"/>
      <c r="I171" s="238"/>
      <c r="J171" s="238"/>
      <c r="K171" s="238"/>
      <c r="L171" s="238"/>
      <c r="M171" s="238"/>
      <c r="N171" s="238"/>
      <c r="O171" s="238"/>
      <c r="P171" s="238"/>
      <c r="Q171" s="251"/>
      <c r="R171" s="259"/>
      <c r="S171" s="227"/>
      <c r="T171" s="229"/>
      <c r="U171" s="227"/>
      <c r="V171" s="227"/>
      <c r="W171" s="229"/>
      <c r="X171" s="229"/>
    </row>
    <row r="172" spans="1:24" x14ac:dyDescent="0.25">
      <c r="A172" s="161" t="s">
        <v>138</v>
      </c>
      <c r="B172" s="144" t="s">
        <v>116</v>
      </c>
      <c r="C172" s="310"/>
      <c r="D172" s="339"/>
      <c r="E172" s="338"/>
      <c r="F172" s="320">
        <f>D172*E172</f>
        <v>0</v>
      </c>
      <c r="G172" s="37">
        <f>F172*C4</f>
        <v>0</v>
      </c>
      <c r="H172" s="239"/>
      <c r="I172" s="239"/>
      <c r="J172" s="239"/>
      <c r="K172" s="239"/>
      <c r="L172" s="239"/>
      <c r="M172" s="239"/>
      <c r="N172" s="239"/>
      <c r="O172" s="239"/>
      <c r="P172" s="239"/>
      <c r="Q172" s="250"/>
      <c r="R172" s="261"/>
      <c r="S172" s="222">
        <f t="shared" si="8"/>
        <v>0</v>
      </c>
      <c r="T172" s="228">
        <f t="shared" si="9"/>
        <v>0</v>
      </c>
      <c r="U172" s="222">
        <f t="shared" si="10"/>
        <v>0</v>
      </c>
      <c r="V172" s="222">
        <f t="shared" si="11"/>
        <v>0</v>
      </c>
      <c r="W172" s="228">
        <f t="shared" si="12"/>
        <v>0</v>
      </c>
      <c r="X172" s="228"/>
    </row>
    <row r="173" spans="1:24" x14ac:dyDescent="0.25">
      <c r="A173" s="161" t="s">
        <v>139</v>
      </c>
      <c r="B173" s="144" t="s">
        <v>52</v>
      </c>
      <c r="C173" s="310"/>
      <c r="D173" s="339"/>
      <c r="E173" s="338"/>
      <c r="F173" s="320">
        <f t="shared" ref="F173:F179" si="13">D173*E173</f>
        <v>0</v>
      </c>
      <c r="G173" s="37">
        <f>F173*C4</f>
        <v>0</v>
      </c>
      <c r="H173" s="239"/>
      <c r="I173" s="239"/>
      <c r="J173" s="239"/>
      <c r="K173" s="239"/>
      <c r="L173" s="239"/>
      <c r="M173" s="239"/>
      <c r="N173" s="239"/>
      <c r="O173" s="239"/>
      <c r="P173" s="239"/>
      <c r="Q173" s="250"/>
      <c r="R173" s="261"/>
      <c r="S173" s="222">
        <f t="shared" si="8"/>
        <v>0</v>
      </c>
      <c r="T173" s="228">
        <f t="shared" si="9"/>
        <v>0</v>
      </c>
      <c r="U173" s="222">
        <f t="shared" si="10"/>
        <v>0</v>
      </c>
      <c r="V173" s="222">
        <f t="shared" si="11"/>
        <v>0</v>
      </c>
      <c r="W173" s="228">
        <f t="shared" si="12"/>
        <v>0</v>
      </c>
      <c r="X173" s="228"/>
    </row>
    <row r="174" spans="1:24" x14ac:dyDescent="0.25">
      <c r="A174" s="161" t="s">
        <v>140</v>
      </c>
      <c r="B174" s="144" t="s">
        <v>112</v>
      </c>
      <c r="C174" s="342"/>
      <c r="D174" s="309"/>
      <c r="E174" s="308"/>
      <c r="F174" s="320">
        <f t="shared" si="13"/>
        <v>0</v>
      </c>
      <c r="G174" s="37">
        <f>F174*C4</f>
        <v>0</v>
      </c>
      <c r="H174" s="239"/>
      <c r="I174" s="239"/>
      <c r="J174" s="239"/>
      <c r="K174" s="239"/>
      <c r="L174" s="239"/>
      <c r="M174" s="239"/>
      <c r="N174" s="239"/>
      <c r="O174" s="239"/>
      <c r="P174" s="239"/>
      <c r="Q174" s="250"/>
      <c r="R174" s="261"/>
      <c r="S174" s="222">
        <f t="shared" si="8"/>
        <v>0</v>
      </c>
      <c r="T174" s="228">
        <f t="shared" si="9"/>
        <v>0</v>
      </c>
      <c r="U174" s="222">
        <f t="shared" si="10"/>
        <v>0</v>
      </c>
      <c r="V174" s="222">
        <f t="shared" si="11"/>
        <v>0</v>
      </c>
      <c r="W174" s="228">
        <f t="shared" si="12"/>
        <v>0</v>
      </c>
      <c r="X174" s="228"/>
    </row>
    <row r="175" spans="1:24" x14ac:dyDescent="0.25">
      <c r="A175" s="161" t="s">
        <v>141</v>
      </c>
      <c r="B175" s="144" t="s">
        <v>146</v>
      </c>
      <c r="C175" s="342"/>
      <c r="D175" s="309"/>
      <c r="E175" s="308"/>
      <c r="F175" s="320">
        <f t="shared" si="13"/>
        <v>0</v>
      </c>
      <c r="G175" s="37">
        <f>F175*C4</f>
        <v>0</v>
      </c>
      <c r="H175" s="239"/>
      <c r="I175" s="239"/>
      <c r="J175" s="239"/>
      <c r="K175" s="239"/>
      <c r="L175" s="239"/>
      <c r="M175" s="239"/>
      <c r="N175" s="239"/>
      <c r="O175" s="239"/>
      <c r="P175" s="239"/>
      <c r="Q175" s="250"/>
      <c r="R175" s="261"/>
      <c r="S175" s="222">
        <f t="shared" si="8"/>
        <v>0</v>
      </c>
      <c r="T175" s="228">
        <f t="shared" si="9"/>
        <v>0</v>
      </c>
      <c r="U175" s="222">
        <f t="shared" si="10"/>
        <v>0</v>
      </c>
      <c r="V175" s="222">
        <f t="shared" si="11"/>
        <v>0</v>
      </c>
      <c r="W175" s="228">
        <f t="shared" si="12"/>
        <v>0</v>
      </c>
      <c r="X175" s="228"/>
    </row>
    <row r="176" spans="1:24" ht="15" customHeight="1" x14ac:dyDescent="0.25">
      <c r="A176" s="161" t="s">
        <v>142</v>
      </c>
      <c r="B176" s="144" t="s">
        <v>147</v>
      </c>
      <c r="C176" s="342"/>
      <c r="D176" s="309"/>
      <c r="E176" s="308"/>
      <c r="F176" s="320">
        <f t="shared" si="13"/>
        <v>0</v>
      </c>
      <c r="G176" s="37">
        <f>F176*C4</f>
        <v>0</v>
      </c>
      <c r="H176" s="239"/>
      <c r="I176" s="239"/>
      <c r="J176" s="239"/>
      <c r="K176" s="239"/>
      <c r="L176" s="239"/>
      <c r="M176" s="239"/>
      <c r="N176" s="239"/>
      <c r="O176" s="239"/>
      <c r="P176" s="239"/>
      <c r="Q176" s="250"/>
      <c r="R176" s="261"/>
      <c r="S176" s="222">
        <f t="shared" si="8"/>
        <v>0</v>
      </c>
      <c r="T176" s="228">
        <f t="shared" si="9"/>
        <v>0</v>
      </c>
      <c r="U176" s="222">
        <f t="shared" si="10"/>
        <v>0</v>
      </c>
      <c r="V176" s="222">
        <f t="shared" si="11"/>
        <v>0</v>
      </c>
      <c r="W176" s="228">
        <f t="shared" si="12"/>
        <v>0</v>
      </c>
      <c r="X176" s="228"/>
    </row>
    <row r="177" spans="1:24" ht="15" customHeight="1" x14ac:dyDescent="0.25">
      <c r="A177" s="161" t="s">
        <v>143</v>
      </c>
      <c r="B177" s="144" t="s">
        <v>251</v>
      </c>
      <c r="C177" s="342"/>
      <c r="D177" s="309"/>
      <c r="E177" s="308"/>
      <c r="F177" s="320">
        <f>D177*E177</f>
        <v>0</v>
      </c>
      <c r="G177" s="37">
        <f>F177*C4</f>
        <v>0</v>
      </c>
      <c r="H177" s="239"/>
      <c r="I177" s="239"/>
      <c r="J177" s="239"/>
      <c r="K177" s="239"/>
      <c r="L177" s="239"/>
      <c r="M177" s="239"/>
      <c r="N177" s="239"/>
      <c r="O177" s="239"/>
      <c r="P177" s="239"/>
      <c r="Q177" s="250"/>
      <c r="R177" s="261"/>
      <c r="S177" s="222">
        <f t="shared" si="8"/>
        <v>0</v>
      </c>
      <c r="T177" s="228">
        <f t="shared" si="9"/>
        <v>0</v>
      </c>
      <c r="U177" s="222">
        <f t="shared" si="10"/>
        <v>0</v>
      </c>
      <c r="V177" s="222">
        <f t="shared" si="11"/>
        <v>0</v>
      </c>
      <c r="W177" s="228">
        <f t="shared" si="12"/>
        <v>0</v>
      </c>
      <c r="X177" s="228"/>
    </row>
    <row r="178" spans="1:24" ht="15" customHeight="1" x14ac:dyDescent="0.25">
      <c r="A178" s="161" t="s">
        <v>144</v>
      </c>
      <c r="B178" s="144" t="s">
        <v>311</v>
      </c>
      <c r="C178" s="342"/>
      <c r="D178" s="309"/>
      <c r="E178" s="308"/>
      <c r="F178" s="320">
        <f>D178*E178</f>
        <v>0</v>
      </c>
      <c r="G178" s="37">
        <f>F178*C10</f>
        <v>0</v>
      </c>
      <c r="H178" s="239"/>
      <c r="I178" s="239"/>
      <c r="J178" s="239"/>
      <c r="K178" s="239"/>
      <c r="L178" s="239"/>
      <c r="M178" s="239"/>
      <c r="N178" s="239"/>
      <c r="O178" s="239"/>
      <c r="P178" s="239"/>
      <c r="Q178" s="250"/>
      <c r="R178" s="261"/>
      <c r="S178" s="222"/>
      <c r="T178" s="228"/>
      <c r="U178" s="222"/>
      <c r="V178" s="222"/>
      <c r="W178" s="228"/>
      <c r="X178" s="228"/>
    </row>
    <row r="179" spans="1:24" ht="15" customHeight="1" x14ac:dyDescent="0.25">
      <c r="A179" s="161" t="s">
        <v>250</v>
      </c>
      <c r="B179" s="144" t="s">
        <v>308</v>
      </c>
      <c r="C179" s="342"/>
      <c r="D179" s="309"/>
      <c r="E179" s="308"/>
      <c r="F179" s="320">
        <f t="shared" si="13"/>
        <v>0</v>
      </c>
      <c r="G179" s="37">
        <v>0</v>
      </c>
      <c r="H179" s="239"/>
      <c r="I179" s="239"/>
      <c r="J179" s="239"/>
      <c r="K179" s="239"/>
      <c r="L179" s="239"/>
      <c r="M179" s="239"/>
      <c r="N179" s="239"/>
      <c r="O179" s="239"/>
      <c r="P179" s="239"/>
      <c r="Q179" s="250"/>
      <c r="R179" s="261"/>
      <c r="S179" s="222"/>
      <c r="T179" s="228"/>
      <c r="U179" s="222"/>
      <c r="V179" s="222"/>
      <c r="W179" s="228"/>
      <c r="X179" s="228"/>
    </row>
    <row r="180" spans="1:24" x14ac:dyDescent="0.25">
      <c r="A180" s="161" t="s">
        <v>309</v>
      </c>
      <c r="B180" s="144" t="s">
        <v>145</v>
      </c>
      <c r="C180" s="351" t="s">
        <v>424</v>
      </c>
      <c r="D180" s="309"/>
      <c r="E180" s="308"/>
      <c r="F180" s="320">
        <f>G180*1500</f>
        <v>4500000</v>
      </c>
      <c r="G180" s="37">
        <v>3000</v>
      </c>
      <c r="H180" s="239"/>
      <c r="I180" s="239"/>
      <c r="J180" s="239"/>
      <c r="K180" s="239"/>
      <c r="L180" s="239"/>
      <c r="M180" s="239"/>
      <c r="N180" s="239"/>
      <c r="O180" s="239"/>
      <c r="P180" s="239"/>
      <c r="Q180" s="250"/>
      <c r="R180" s="261"/>
      <c r="S180" s="222">
        <f t="shared" si="8"/>
        <v>-4500000</v>
      </c>
      <c r="T180" s="228">
        <f t="shared" si="9"/>
        <v>-1</v>
      </c>
      <c r="U180" s="222">
        <f t="shared" si="10"/>
        <v>0</v>
      </c>
      <c r="V180" s="222">
        <f t="shared" si="11"/>
        <v>-3000</v>
      </c>
      <c r="W180" s="228">
        <f t="shared" si="12"/>
        <v>-1</v>
      </c>
      <c r="X180" s="228"/>
    </row>
    <row r="181" spans="1:24" x14ac:dyDescent="0.25">
      <c r="A181" s="161" t="s">
        <v>310</v>
      </c>
      <c r="B181" s="144" t="s">
        <v>171</v>
      </c>
      <c r="C181" s="351" t="s">
        <v>424</v>
      </c>
      <c r="D181" s="309"/>
      <c r="E181" s="308"/>
      <c r="F181" s="320">
        <f>G181*1500</f>
        <v>7500000</v>
      </c>
      <c r="G181" s="37">
        <v>5000</v>
      </c>
      <c r="H181" s="239"/>
      <c r="I181" s="239"/>
      <c r="J181" s="239"/>
      <c r="K181" s="239"/>
      <c r="L181" s="239"/>
      <c r="M181" s="239"/>
      <c r="N181" s="239"/>
      <c r="O181" s="239"/>
      <c r="P181" s="239"/>
      <c r="Q181" s="250"/>
      <c r="R181" s="261"/>
      <c r="S181" s="222">
        <f t="shared" si="8"/>
        <v>-7500000</v>
      </c>
      <c r="T181" s="228">
        <f t="shared" si="9"/>
        <v>-1</v>
      </c>
      <c r="U181" s="222">
        <f t="shared" si="10"/>
        <v>0</v>
      </c>
      <c r="V181" s="222">
        <f t="shared" si="11"/>
        <v>-5000</v>
      </c>
      <c r="W181" s="228">
        <f t="shared" si="12"/>
        <v>-1</v>
      </c>
      <c r="X181" s="228"/>
    </row>
    <row r="182" spans="1:24" x14ac:dyDescent="0.25">
      <c r="B182" s="113"/>
      <c r="C182" s="401"/>
      <c r="D182" s="306"/>
      <c r="E182" s="305"/>
      <c r="G182" s="276"/>
      <c r="H182" s="345"/>
      <c r="I182" s="345"/>
      <c r="J182" s="345"/>
      <c r="K182" s="345"/>
      <c r="L182" s="345"/>
      <c r="M182" s="345"/>
      <c r="N182" s="345"/>
      <c r="O182" s="345"/>
      <c r="P182" s="345"/>
      <c r="Q182" s="344"/>
      <c r="R182" s="343"/>
      <c r="S182" s="222"/>
      <c r="T182" s="228"/>
      <c r="U182" s="222"/>
      <c r="V182" s="222"/>
      <c r="W182" s="228"/>
      <c r="X182" s="228"/>
    </row>
    <row r="183" spans="1:24" ht="13.8" thickBot="1" x14ac:dyDescent="0.3">
      <c r="A183" s="103"/>
      <c r="B183" s="150" t="s">
        <v>114</v>
      </c>
      <c r="C183" s="294"/>
      <c r="D183" s="293"/>
      <c r="E183" s="292"/>
      <c r="F183" s="316">
        <f>SUM(F172:F181)</f>
        <v>12000000</v>
      </c>
      <c r="G183" s="316">
        <f>SUM(G172:G181)</f>
        <v>8000</v>
      </c>
      <c r="H183" s="286"/>
      <c r="I183" s="286"/>
      <c r="J183" s="286"/>
      <c r="K183" s="286"/>
      <c r="L183" s="286"/>
      <c r="M183" s="286"/>
      <c r="N183" s="286"/>
      <c r="O183" s="286"/>
      <c r="P183" s="286"/>
      <c r="Q183" s="312"/>
      <c r="R183" s="311"/>
      <c r="S183" s="234">
        <f t="shared" si="8"/>
        <v>-12000000</v>
      </c>
      <c r="T183" s="235">
        <f t="shared" si="9"/>
        <v>-1</v>
      </c>
      <c r="U183" s="234">
        <f t="shared" si="10"/>
        <v>0</v>
      </c>
      <c r="V183" s="234">
        <f t="shared" si="11"/>
        <v>-8000</v>
      </c>
      <c r="W183" s="235">
        <f t="shared" si="12"/>
        <v>-1</v>
      </c>
      <c r="X183" s="235"/>
    </row>
    <row r="184" spans="1:24" ht="13.8" thickTop="1" x14ac:dyDescent="0.25">
      <c r="B184" s="81"/>
      <c r="C184" s="341"/>
      <c r="D184" s="340"/>
      <c r="E184" s="268"/>
      <c r="F184" s="276"/>
      <c r="G184" s="1"/>
      <c r="H184" s="239"/>
      <c r="I184" s="239"/>
      <c r="J184" s="239"/>
      <c r="K184" s="239"/>
      <c r="L184" s="239"/>
      <c r="M184" s="239"/>
      <c r="N184" s="239"/>
      <c r="O184" s="239"/>
      <c r="P184" s="239"/>
      <c r="Q184" s="250"/>
      <c r="R184" s="256"/>
      <c r="S184" s="222"/>
      <c r="T184" s="228"/>
      <c r="U184" s="222"/>
      <c r="V184" s="222"/>
      <c r="W184" s="228"/>
      <c r="X184" s="228"/>
    </row>
    <row r="185" spans="1:24" x14ac:dyDescent="0.25">
      <c r="A185" s="129">
        <v>4</v>
      </c>
      <c r="B185" s="130" t="s">
        <v>113</v>
      </c>
      <c r="C185" s="329"/>
      <c r="D185" s="328"/>
      <c r="E185" s="327"/>
      <c r="F185" s="327"/>
      <c r="G185" s="151"/>
      <c r="H185" s="238"/>
      <c r="I185" s="238"/>
      <c r="J185" s="238"/>
      <c r="K185" s="238"/>
      <c r="L185" s="238"/>
      <c r="M185" s="238"/>
      <c r="N185" s="238"/>
      <c r="O185" s="238"/>
      <c r="P185" s="238"/>
      <c r="Q185" s="251"/>
      <c r="R185" s="259"/>
      <c r="S185" s="227"/>
      <c r="T185" s="229"/>
      <c r="U185" s="227"/>
      <c r="V185" s="227"/>
      <c r="W185" s="229"/>
      <c r="X185" s="229"/>
    </row>
    <row r="186" spans="1:24" x14ac:dyDescent="0.25">
      <c r="A186" s="74" t="s">
        <v>19</v>
      </c>
      <c r="B186" s="81"/>
      <c r="C186" s="341"/>
      <c r="D186" s="340"/>
      <c r="E186" s="268"/>
      <c r="F186" s="276"/>
      <c r="G186" s="1"/>
      <c r="H186" s="239"/>
      <c r="I186" s="239"/>
      <c r="J186" s="239"/>
      <c r="K186" s="239"/>
      <c r="L186" s="239"/>
      <c r="M186" s="239"/>
      <c r="N186" s="239"/>
      <c r="O186" s="239"/>
      <c r="P186" s="239"/>
      <c r="Q186" s="250"/>
      <c r="R186" s="256"/>
      <c r="S186" s="222"/>
      <c r="T186" s="228"/>
      <c r="U186" s="222"/>
      <c r="V186" s="222"/>
      <c r="W186" s="228"/>
      <c r="X186" s="228"/>
    </row>
    <row r="187" spans="1:24" x14ac:dyDescent="0.25">
      <c r="A187" s="81" t="s">
        <v>148</v>
      </c>
      <c r="B187" s="167" t="s">
        <v>48</v>
      </c>
      <c r="C187" s="310"/>
      <c r="D187" s="339"/>
      <c r="E187" s="338"/>
      <c r="F187" s="276">
        <f>D187*E187</f>
        <v>0</v>
      </c>
      <c r="G187" s="1">
        <f>F187*C4</f>
        <v>0</v>
      </c>
      <c r="H187" s="239"/>
      <c r="I187" s="239"/>
      <c r="J187" s="239"/>
      <c r="K187" s="239"/>
      <c r="L187" s="239"/>
      <c r="M187" s="239"/>
      <c r="N187" s="239"/>
      <c r="O187" s="239"/>
      <c r="P187" s="239"/>
      <c r="Q187" s="250"/>
      <c r="R187" s="261"/>
      <c r="S187" s="222">
        <f t="shared" si="8"/>
        <v>0</v>
      </c>
      <c r="T187" s="228">
        <f t="shared" si="9"/>
        <v>0</v>
      </c>
      <c r="U187" s="222">
        <f t="shared" si="10"/>
        <v>0</v>
      </c>
      <c r="V187" s="222">
        <f t="shared" si="11"/>
        <v>0</v>
      </c>
      <c r="W187" s="228">
        <f t="shared" si="12"/>
        <v>0</v>
      </c>
      <c r="X187" s="228"/>
    </row>
    <row r="188" spans="1:24" x14ac:dyDescent="0.25">
      <c r="A188" s="81" t="s">
        <v>149</v>
      </c>
      <c r="B188" s="167" t="s">
        <v>49</v>
      </c>
      <c r="C188" s="310"/>
      <c r="D188" s="339"/>
      <c r="E188" s="338"/>
      <c r="F188" s="276">
        <f>D188*E188</f>
        <v>0</v>
      </c>
      <c r="G188" s="1">
        <f>F188*C4</f>
        <v>0</v>
      </c>
      <c r="H188" s="239"/>
      <c r="I188" s="239"/>
      <c r="J188" s="239"/>
      <c r="K188" s="239"/>
      <c r="L188" s="239"/>
      <c r="M188" s="239"/>
      <c r="N188" s="239"/>
      <c r="O188" s="239"/>
      <c r="P188" s="239"/>
      <c r="Q188" s="250"/>
      <c r="R188" s="261"/>
      <c r="S188" s="222">
        <f t="shared" si="8"/>
        <v>0</v>
      </c>
      <c r="T188" s="228">
        <f t="shared" si="9"/>
        <v>0</v>
      </c>
      <c r="U188" s="222">
        <f t="shared" si="10"/>
        <v>0</v>
      </c>
      <c r="V188" s="222">
        <f t="shared" si="11"/>
        <v>0</v>
      </c>
      <c r="W188" s="228">
        <f t="shared" si="12"/>
        <v>0</v>
      </c>
      <c r="X188" s="228"/>
    </row>
    <row r="189" spans="1:24" x14ac:dyDescent="0.25">
      <c r="A189" s="74" t="s">
        <v>7</v>
      </c>
      <c r="B189" s="141"/>
      <c r="C189" s="337"/>
      <c r="D189" s="336"/>
      <c r="E189" s="335"/>
      <c r="F189" s="276"/>
      <c r="G189" s="1"/>
      <c r="H189" s="239"/>
      <c r="I189" s="239"/>
      <c r="J189" s="239"/>
      <c r="K189" s="239"/>
      <c r="L189" s="239"/>
      <c r="M189" s="239"/>
      <c r="N189" s="239"/>
      <c r="O189" s="239"/>
      <c r="P189" s="239"/>
      <c r="Q189" s="250"/>
      <c r="R189" s="256"/>
      <c r="S189" s="222"/>
      <c r="T189" s="228"/>
      <c r="U189" s="222"/>
      <c r="V189" s="222"/>
      <c r="W189" s="228"/>
      <c r="X189" s="228"/>
    </row>
    <row r="190" spans="1:24" x14ac:dyDescent="0.25">
      <c r="A190" s="81" t="s">
        <v>150</v>
      </c>
      <c r="B190" s="167" t="s">
        <v>50</v>
      </c>
      <c r="C190" s="309"/>
      <c r="D190" s="308"/>
      <c r="E190" s="307"/>
      <c r="F190" s="276">
        <f>D190*E190</f>
        <v>0</v>
      </c>
      <c r="G190" s="35">
        <f>F190*C4</f>
        <v>0</v>
      </c>
      <c r="H190" s="239"/>
      <c r="I190" s="239"/>
      <c r="J190" s="239"/>
      <c r="K190" s="239"/>
      <c r="L190" s="239"/>
      <c r="M190" s="239"/>
      <c r="N190" s="239"/>
      <c r="O190" s="239"/>
      <c r="P190" s="239"/>
      <c r="Q190" s="250"/>
      <c r="R190" s="261"/>
      <c r="S190" s="222">
        <f t="shared" si="8"/>
        <v>0</v>
      </c>
      <c r="T190" s="228">
        <f t="shared" si="9"/>
        <v>0</v>
      </c>
      <c r="U190" s="222">
        <f t="shared" si="10"/>
        <v>0</v>
      </c>
      <c r="V190" s="222">
        <f t="shared" si="11"/>
        <v>0</v>
      </c>
      <c r="W190" s="228">
        <f t="shared" si="12"/>
        <v>0</v>
      </c>
      <c r="X190" s="228"/>
    </row>
    <row r="191" spans="1:24" x14ac:dyDescent="0.25">
      <c r="A191" s="81" t="s">
        <v>151</v>
      </c>
      <c r="B191" s="141" t="s">
        <v>51</v>
      </c>
      <c r="C191" s="309"/>
      <c r="D191" s="308"/>
      <c r="E191" s="307"/>
      <c r="F191" s="276">
        <f>D191*E191</f>
        <v>0</v>
      </c>
      <c r="G191" s="35">
        <f>F191*C4</f>
        <v>0</v>
      </c>
      <c r="H191" s="239"/>
      <c r="I191" s="239"/>
      <c r="J191" s="239"/>
      <c r="K191" s="239"/>
      <c r="L191" s="239"/>
      <c r="M191" s="239"/>
      <c r="N191" s="239"/>
      <c r="O191" s="239"/>
      <c r="P191" s="239"/>
      <c r="Q191" s="250"/>
      <c r="R191" s="261"/>
      <c r="S191" s="222">
        <f t="shared" si="8"/>
        <v>0</v>
      </c>
      <c r="T191" s="228">
        <f t="shared" si="9"/>
        <v>0</v>
      </c>
      <c r="U191" s="222">
        <f t="shared" si="10"/>
        <v>0</v>
      </c>
      <c r="V191" s="222">
        <f t="shared" si="11"/>
        <v>0</v>
      </c>
      <c r="W191" s="228">
        <f t="shared" si="12"/>
        <v>0</v>
      </c>
      <c r="X191" s="228"/>
    </row>
    <row r="192" spans="1:24" x14ac:dyDescent="0.25">
      <c r="A192" s="74" t="s">
        <v>8</v>
      </c>
      <c r="B192" s="141"/>
      <c r="C192" s="334"/>
      <c r="D192" s="333"/>
      <c r="E192" s="332"/>
      <c r="F192" s="276"/>
      <c r="G192" s="1"/>
      <c r="H192" s="239"/>
      <c r="I192" s="239"/>
      <c r="J192" s="239"/>
      <c r="K192" s="239"/>
      <c r="L192" s="239"/>
      <c r="M192" s="239"/>
      <c r="N192" s="239"/>
      <c r="O192" s="239"/>
      <c r="P192" s="239"/>
      <c r="Q192" s="250"/>
      <c r="R192" s="256"/>
      <c r="S192" s="222"/>
      <c r="T192" s="228"/>
      <c r="U192" s="222"/>
      <c r="V192" s="222"/>
      <c r="W192" s="228"/>
      <c r="X192" s="228"/>
    </row>
    <row r="193" spans="1:24" x14ac:dyDescent="0.25">
      <c r="A193" s="81" t="s">
        <v>156</v>
      </c>
      <c r="B193" s="144" t="s">
        <v>187</v>
      </c>
      <c r="C193" s="309"/>
      <c r="D193" s="308"/>
      <c r="E193" s="307"/>
      <c r="F193" s="276">
        <f>D193*E193</f>
        <v>0</v>
      </c>
      <c r="G193" s="1">
        <f>F193*C4</f>
        <v>0</v>
      </c>
      <c r="H193" s="239"/>
      <c r="I193" s="239"/>
      <c r="J193" s="239"/>
      <c r="K193" s="239"/>
      <c r="L193" s="239"/>
      <c r="M193" s="239"/>
      <c r="N193" s="239"/>
      <c r="O193" s="239"/>
      <c r="P193" s="239"/>
      <c r="Q193" s="250"/>
      <c r="R193" s="261"/>
      <c r="S193" s="222">
        <f t="shared" si="8"/>
        <v>0</v>
      </c>
      <c r="T193" s="228">
        <f t="shared" si="9"/>
        <v>0</v>
      </c>
      <c r="U193" s="222">
        <f t="shared" si="10"/>
        <v>0</v>
      </c>
      <c r="V193" s="222">
        <f t="shared" si="11"/>
        <v>0</v>
      </c>
      <c r="W193" s="228">
        <f t="shared" si="12"/>
        <v>0</v>
      </c>
      <c r="X193" s="228"/>
    </row>
    <row r="194" spans="1:24" x14ac:dyDescent="0.25">
      <c r="A194" s="81" t="s">
        <v>152</v>
      </c>
      <c r="B194" s="153" t="s">
        <v>54</v>
      </c>
      <c r="C194" s="309"/>
      <c r="D194" s="308"/>
      <c r="E194" s="307"/>
      <c r="F194" s="276">
        <f>D194*E194</f>
        <v>0</v>
      </c>
      <c r="G194" s="1">
        <f>F194*C4</f>
        <v>0</v>
      </c>
      <c r="H194" s="239"/>
      <c r="I194" s="239"/>
      <c r="J194" s="239"/>
      <c r="K194" s="239"/>
      <c r="L194" s="239"/>
      <c r="M194" s="239"/>
      <c r="N194" s="239"/>
      <c r="O194" s="239"/>
      <c r="P194" s="239"/>
      <c r="Q194" s="250"/>
      <c r="R194" s="261"/>
      <c r="S194" s="222">
        <f t="shared" si="8"/>
        <v>0</v>
      </c>
      <c r="T194" s="228">
        <f t="shared" si="9"/>
        <v>0</v>
      </c>
      <c r="U194" s="222">
        <f t="shared" si="10"/>
        <v>0</v>
      </c>
      <c r="V194" s="222">
        <f t="shared" si="11"/>
        <v>0</v>
      </c>
      <c r="W194" s="228">
        <f t="shared" si="12"/>
        <v>0</v>
      </c>
      <c r="X194" s="228"/>
    </row>
    <row r="195" spans="1:24" x14ac:dyDescent="0.25">
      <c r="A195" s="81" t="s">
        <v>153</v>
      </c>
      <c r="B195" s="153" t="s">
        <v>55</v>
      </c>
      <c r="C195" s="309"/>
      <c r="D195" s="308"/>
      <c r="E195" s="331"/>
      <c r="F195" s="276">
        <f>D195*E195</f>
        <v>0</v>
      </c>
      <c r="G195" s="1">
        <f>F195*C4</f>
        <v>0</v>
      </c>
      <c r="H195" s="239"/>
      <c r="I195" s="239"/>
      <c r="J195" s="239"/>
      <c r="K195" s="239"/>
      <c r="L195" s="239"/>
      <c r="M195" s="239"/>
      <c r="N195" s="239"/>
      <c r="O195" s="239"/>
      <c r="P195" s="239"/>
      <c r="Q195" s="250"/>
      <c r="R195" s="261"/>
      <c r="S195" s="222">
        <f t="shared" si="8"/>
        <v>0</v>
      </c>
      <c r="T195" s="228">
        <f t="shared" si="9"/>
        <v>0</v>
      </c>
      <c r="U195" s="222">
        <f t="shared" si="10"/>
        <v>0</v>
      </c>
      <c r="V195" s="222">
        <f t="shared" si="11"/>
        <v>0</v>
      </c>
      <c r="W195" s="228">
        <f t="shared" si="12"/>
        <v>0</v>
      </c>
      <c r="X195" s="228"/>
    </row>
    <row r="196" spans="1:24" x14ac:dyDescent="0.25">
      <c r="A196" s="81" t="s">
        <v>154</v>
      </c>
      <c r="B196" s="153" t="s">
        <v>131</v>
      </c>
      <c r="C196" s="309"/>
      <c r="D196" s="308"/>
      <c r="E196" s="330"/>
      <c r="F196" s="276">
        <f>G196*1500</f>
        <v>0</v>
      </c>
      <c r="G196" s="1"/>
      <c r="H196" s="239"/>
      <c r="I196" s="239"/>
      <c r="J196" s="239"/>
      <c r="K196" s="239"/>
      <c r="L196" s="239"/>
      <c r="M196" s="239"/>
      <c r="N196" s="239"/>
      <c r="O196" s="239"/>
      <c r="P196" s="239"/>
      <c r="Q196" s="250"/>
      <c r="R196" s="261"/>
      <c r="S196" s="222">
        <f t="shared" si="8"/>
        <v>0</v>
      </c>
      <c r="T196" s="228">
        <f t="shared" si="9"/>
        <v>0</v>
      </c>
      <c r="U196" s="222">
        <f t="shared" si="10"/>
        <v>0</v>
      </c>
      <c r="V196" s="222">
        <f t="shared" si="11"/>
        <v>0</v>
      </c>
      <c r="W196" s="228">
        <f t="shared" si="12"/>
        <v>0</v>
      </c>
      <c r="X196" s="228"/>
    </row>
    <row r="197" spans="1:24" x14ac:dyDescent="0.25">
      <c r="A197" s="81" t="s">
        <v>155</v>
      </c>
      <c r="B197" s="153" t="s">
        <v>132</v>
      </c>
      <c r="C197" s="309"/>
      <c r="D197" s="308"/>
      <c r="E197" s="330"/>
      <c r="F197" s="276">
        <f>D197*E197</f>
        <v>0</v>
      </c>
      <c r="G197" s="1">
        <f>F197*C4</f>
        <v>0</v>
      </c>
      <c r="H197" s="239"/>
      <c r="I197" s="239"/>
      <c r="J197" s="239"/>
      <c r="K197" s="239"/>
      <c r="L197" s="239"/>
      <c r="M197" s="239"/>
      <c r="N197" s="239"/>
      <c r="O197" s="239"/>
      <c r="P197" s="239"/>
      <c r="Q197" s="250"/>
      <c r="R197" s="261"/>
      <c r="S197" s="222">
        <f t="shared" si="8"/>
        <v>0</v>
      </c>
      <c r="T197" s="228">
        <f t="shared" si="9"/>
        <v>0</v>
      </c>
      <c r="U197" s="222">
        <f t="shared" si="10"/>
        <v>0</v>
      </c>
      <c r="V197" s="222">
        <f t="shared" si="11"/>
        <v>0</v>
      </c>
      <c r="W197" s="228">
        <f t="shared" si="12"/>
        <v>0</v>
      </c>
      <c r="X197" s="228"/>
    </row>
    <row r="198" spans="1:24" x14ac:dyDescent="0.25">
      <c r="C198" s="5"/>
      <c r="D198" s="5"/>
      <c r="E198" s="5"/>
      <c r="F198" s="172"/>
      <c r="H198" s="239"/>
      <c r="I198" s="239"/>
      <c r="J198" s="239"/>
      <c r="K198" s="239"/>
      <c r="L198" s="239"/>
      <c r="M198" s="239"/>
      <c r="N198" s="239"/>
      <c r="O198" s="239"/>
      <c r="P198" s="239"/>
      <c r="Q198" s="250"/>
      <c r="R198" s="256"/>
      <c r="S198" s="222"/>
      <c r="T198" s="228"/>
      <c r="U198" s="222"/>
      <c r="V198" s="222"/>
      <c r="W198" s="228"/>
      <c r="X198" s="228"/>
    </row>
    <row r="199" spans="1:24" x14ac:dyDescent="0.25">
      <c r="A199" s="203"/>
      <c r="B199" s="204" t="s">
        <v>194</v>
      </c>
      <c r="C199" s="204"/>
      <c r="D199" s="204"/>
      <c r="E199" s="204"/>
      <c r="F199" s="205">
        <f>SUM(F187:F189)</f>
        <v>0</v>
      </c>
      <c r="G199" s="204">
        <f>SUM(G187:G189)</f>
        <v>0</v>
      </c>
      <c r="H199" s="239"/>
      <c r="I199" s="239"/>
      <c r="J199" s="239"/>
      <c r="K199" s="239"/>
      <c r="L199" s="239"/>
      <c r="M199" s="239"/>
      <c r="N199" s="239"/>
      <c r="O199" s="239"/>
      <c r="P199" s="239"/>
      <c r="Q199" s="250"/>
      <c r="R199" s="256"/>
      <c r="S199" s="222">
        <f t="shared" si="8"/>
        <v>0</v>
      </c>
      <c r="T199" s="228">
        <f t="shared" si="9"/>
        <v>0</v>
      </c>
      <c r="U199" s="222">
        <f t="shared" si="10"/>
        <v>0</v>
      </c>
      <c r="V199" s="222">
        <f t="shared" si="11"/>
        <v>0</v>
      </c>
      <c r="W199" s="228">
        <f t="shared" si="12"/>
        <v>0</v>
      </c>
      <c r="X199" s="228"/>
    </row>
    <row r="200" spans="1:24" x14ac:dyDescent="0.25">
      <c r="A200" s="203"/>
      <c r="B200" s="204" t="s">
        <v>7</v>
      </c>
      <c r="C200" s="204"/>
      <c r="D200" s="204"/>
      <c r="E200" s="204"/>
      <c r="F200" s="205">
        <f>SUM(F190:F192)</f>
        <v>0</v>
      </c>
      <c r="G200" s="204">
        <f>SUM(G190:G192)</f>
        <v>0</v>
      </c>
      <c r="H200" s="239"/>
      <c r="I200" s="239"/>
      <c r="J200" s="239"/>
      <c r="K200" s="239"/>
      <c r="L200" s="239"/>
      <c r="M200" s="239"/>
      <c r="N200" s="239"/>
      <c r="O200" s="239"/>
      <c r="P200" s="239"/>
      <c r="Q200" s="250"/>
      <c r="R200" s="256"/>
      <c r="S200" s="222">
        <f t="shared" si="8"/>
        <v>0</v>
      </c>
      <c r="T200" s="228">
        <f t="shared" si="9"/>
        <v>0</v>
      </c>
      <c r="U200" s="222">
        <f t="shared" si="10"/>
        <v>0</v>
      </c>
      <c r="V200" s="222">
        <f t="shared" si="11"/>
        <v>0</v>
      </c>
      <c r="W200" s="228">
        <f t="shared" si="12"/>
        <v>0</v>
      </c>
      <c r="X200" s="228"/>
    </row>
    <row r="201" spans="1:24" x14ac:dyDescent="0.25">
      <c r="A201" s="203"/>
      <c r="B201" s="204" t="s">
        <v>8</v>
      </c>
      <c r="C201" s="204"/>
      <c r="D201" s="204"/>
      <c r="E201" s="204"/>
      <c r="F201" s="205">
        <f>SUM(F193:F198)</f>
        <v>0</v>
      </c>
      <c r="G201" s="204">
        <f>SUM(G193:G198)</f>
        <v>0</v>
      </c>
      <c r="H201" s="239"/>
      <c r="I201" s="239"/>
      <c r="J201" s="239"/>
      <c r="K201" s="239"/>
      <c r="L201" s="239"/>
      <c r="M201" s="239"/>
      <c r="N201" s="239"/>
      <c r="O201" s="239"/>
      <c r="P201" s="239"/>
      <c r="Q201" s="250"/>
      <c r="R201" s="256"/>
      <c r="S201" s="222">
        <f t="shared" si="8"/>
        <v>0</v>
      </c>
      <c r="T201" s="228">
        <f t="shared" si="9"/>
        <v>0</v>
      </c>
      <c r="U201" s="222">
        <f t="shared" si="10"/>
        <v>0</v>
      </c>
      <c r="V201" s="222">
        <f t="shared" si="11"/>
        <v>0</v>
      </c>
      <c r="W201" s="228">
        <f t="shared" si="12"/>
        <v>0</v>
      </c>
      <c r="X201" s="228"/>
    </row>
    <row r="202" spans="1:24" ht="13.8" thickBot="1" x14ac:dyDescent="0.3">
      <c r="A202" s="103"/>
      <c r="B202" s="150" t="s">
        <v>115</v>
      </c>
      <c r="C202" s="294"/>
      <c r="D202" s="293"/>
      <c r="E202" s="292"/>
      <c r="F202" s="316">
        <f>SUM(F187+F188+F190+F191+F193+F194+F195+F196+F197)</f>
        <v>0</v>
      </c>
      <c r="G202" s="316">
        <f>SUM(G187+G188+G190+G191+G193+G195+G194+G196+G197)</f>
        <v>0</v>
      </c>
      <c r="H202" s="286"/>
      <c r="I202" s="286"/>
      <c r="J202" s="286"/>
      <c r="K202" s="286"/>
      <c r="L202" s="286"/>
      <c r="M202" s="286"/>
      <c r="N202" s="286"/>
      <c r="O202" s="286"/>
      <c r="P202" s="286"/>
      <c r="Q202" s="312"/>
      <c r="R202" s="311"/>
      <c r="S202" s="234">
        <f t="shared" si="8"/>
        <v>0</v>
      </c>
      <c r="T202" s="235">
        <f t="shared" si="9"/>
        <v>0</v>
      </c>
      <c r="U202" s="234">
        <f t="shared" si="10"/>
        <v>0</v>
      </c>
      <c r="V202" s="234">
        <f t="shared" si="11"/>
        <v>0</v>
      </c>
      <c r="W202" s="235">
        <f t="shared" si="12"/>
        <v>0</v>
      </c>
      <c r="X202" s="235"/>
    </row>
    <row r="203" spans="1:24" ht="13.8" thickTop="1" x14ac:dyDescent="0.25">
      <c r="A203" s="103"/>
      <c r="B203" s="150"/>
      <c r="C203" s="294"/>
      <c r="D203" s="293"/>
      <c r="E203" s="292"/>
      <c r="F203" s="315"/>
      <c r="G203" s="315"/>
      <c r="H203" s="286"/>
      <c r="I203" s="286"/>
      <c r="J203" s="286"/>
      <c r="K203" s="286"/>
      <c r="L203" s="286"/>
      <c r="M203" s="286"/>
      <c r="N203" s="286"/>
      <c r="O203" s="286"/>
      <c r="P203" s="286"/>
      <c r="Q203" s="312"/>
      <c r="R203" s="314"/>
      <c r="S203" s="222"/>
      <c r="T203" s="228"/>
      <c r="U203" s="222"/>
      <c r="V203" s="222"/>
      <c r="W203" s="228"/>
      <c r="X203" s="228"/>
    </row>
    <row r="204" spans="1:24" x14ac:dyDescent="0.25">
      <c r="A204" s="129">
        <v>5</v>
      </c>
      <c r="B204" s="130" t="s">
        <v>117</v>
      </c>
      <c r="C204" s="329"/>
      <c r="D204" s="328"/>
      <c r="E204" s="327"/>
      <c r="F204" s="327"/>
      <c r="G204" s="151"/>
      <c r="H204" s="238"/>
      <c r="I204" s="238"/>
      <c r="J204" s="238"/>
      <c r="K204" s="238"/>
      <c r="L204" s="238"/>
      <c r="M204" s="238"/>
      <c r="N204" s="238"/>
      <c r="O204" s="238"/>
      <c r="P204" s="238"/>
      <c r="Q204" s="251"/>
      <c r="R204" s="259"/>
      <c r="S204" s="227"/>
      <c r="T204" s="229"/>
      <c r="U204" s="227"/>
      <c r="V204" s="227"/>
      <c r="W204" s="229"/>
      <c r="X204" s="229"/>
    </row>
    <row r="205" spans="1:24" x14ac:dyDescent="0.25">
      <c r="A205" s="81" t="s">
        <v>157</v>
      </c>
      <c r="B205" s="167" t="s">
        <v>11</v>
      </c>
      <c r="C205" s="309" t="s">
        <v>425</v>
      </c>
      <c r="D205" s="308">
        <v>4</v>
      </c>
      <c r="E205" s="307"/>
      <c r="F205" s="276"/>
      <c r="H205" s="239"/>
      <c r="I205" s="239"/>
      <c r="J205" s="239"/>
      <c r="K205" s="239"/>
      <c r="L205" s="239"/>
      <c r="M205" s="239"/>
      <c r="N205" s="239"/>
      <c r="O205" s="239"/>
      <c r="P205" s="239"/>
      <c r="Q205" s="250"/>
      <c r="R205" s="261"/>
      <c r="S205" s="222">
        <f t="shared" si="8"/>
        <v>0</v>
      </c>
      <c r="T205" s="228">
        <f t="shared" si="9"/>
        <v>0</v>
      </c>
      <c r="U205" s="222">
        <f t="shared" si="10"/>
        <v>0</v>
      </c>
      <c r="V205" s="222">
        <f t="shared" si="11"/>
        <v>0</v>
      </c>
      <c r="W205" s="228">
        <f t="shared" si="12"/>
        <v>0</v>
      </c>
      <c r="X205" s="228"/>
    </row>
    <row r="206" spans="1:24" x14ac:dyDescent="0.25">
      <c r="A206" s="81" t="s">
        <v>158</v>
      </c>
      <c r="B206" s="167" t="s">
        <v>12</v>
      </c>
      <c r="C206" s="309" t="s">
        <v>426</v>
      </c>
      <c r="D206" s="308">
        <v>2</v>
      </c>
      <c r="E206" s="307"/>
      <c r="F206" s="276"/>
      <c r="H206" s="239"/>
      <c r="I206" s="239"/>
      <c r="J206" s="239"/>
      <c r="K206" s="239"/>
      <c r="L206" s="239"/>
      <c r="M206" s="239"/>
      <c r="N206" s="239"/>
      <c r="O206" s="239"/>
      <c r="P206" s="239"/>
      <c r="Q206" s="250"/>
      <c r="R206" s="261"/>
      <c r="S206" s="222">
        <f t="shared" si="8"/>
        <v>0</v>
      </c>
      <c r="T206" s="228">
        <f t="shared" si="9"/>
        <v>0</v>
      </c>
      <c r="U206" s="222">
        <f t="shared" si="10"/>
        <v>0</v>
      </c>
      <c r="V206" s="222">
        <f t="shared" si="11"/>
        <v>0</v>
      </c>
      <c r="W206" s="228">
        <f t="shared" si="12"/>
        <v>0</v>
      </c>
      <c r="X206" s="228"/>
    </row>
    <row r="207" spans="1:24" x14ac:dyDescent="0.25">
      <c r="A207" s="81" t="s">
        <v>159</v>
      </c>
      <c r="B207" s="167" t="s">
        <v>13</v>
      </c>
      <c r="C207" s="309"/>
      <c r="D207" s="308"/>
      <c r="E207" s="307"/>
      <c r="F207" s="276">
        <f>D207*E207</f>
        <v>0</v>
      </c>
      <c r="G207" s="35">
        <f>F207/1500</f>
        <v>0</v>
      </c>
      <c r="H207" s="239"/>
      <c r="I207" s="239"/>
      <c r="J207" s="239"/>
      <c r="K207" s="239"/>
      <c r="L207" s="239"/>
      <c r="M207" s="239"/>
      <c r="N207" s="239"/>
      <c r="O207" s="239"/>
      <c r="P207" s="239"/>
      <c r="Q207" s="250"/>
      <c r="R207" s="261"/>
      <c r="S207" s="222">
        <f t="shared" si="8"/>
        <v>0</v>
      </c>
      <c r="T207" s="228">
        <f t="shared" si="9"/>
        <v>0</v>
      </c>
      <c r="U207" s="222">
        <f t="shared" si="10"/>
        <v>0</v>
      </c>
      <c r="V207" s="222">
        <f t="shared" si="11"/>
        <v>0</v>
      </c>
      <c r="W207" s="228">
        <f t="shared" si="12"/>
        <v>0</v>
      </c>
      <c r="X207" s="228"/>
    </row>
    <row r="208" spans="1:24" x14ac:dyDescent="0.25">
      <c r="A208" s="81" t="s">
        <v>160</v>
      </c>
      <c r="B208" s="167" t="s">
        <v>14</v>
      </c>
      <c r="C208" s="309"/>
      <c r="D208" s="308"/>
      <c r="E208" s="307"/>
      <c r="F208" s="276">
        <f>D208*E208</f>
        <v>0</v>
      </c>
      <c r="G208" s="35">
        <f>F208/1500</f>
        <v>0</v>
      </c>
      <c r="H208" s="239"/>
      <c r="I208" s="239"/>
      <c r="J208" s="239"/>
      <c r="K208" s="239"/>
      <c r="L208" s="239"/>
      <c r="M208" s="239"/>
      <c r="N208" s="239"/>
      <c r="O208" s="239"/>
      <c r="P208" s="239"/>
      <c r="Q208" s="250"/>
      <c r="R208" s="261"/>
      <c r="S208" s="222">
        <f t="shared" si="8"/>
        <v>0</v>
      </c>
      <c r="T208" s="228">
        <f t="shared" si="9"/>
        <v>0</v>
      </c>
      <c r="U208" s="222">
        <f t="shared" si="10"/>
        <v>0</v>
      </c>
      <c r="V208" s="222">
        <f t="shared" si="11"/>
        <v>0</v>
      </c>
      <c r="W208" s="228">
        <f t="shared" si="12"/>
        <v>0</v>
      </c>
      <c r="X208" s="228"/>
    </row>
    <row r="209" spans="1:25" ht="39.6" x14ac:dyDescent="0.25">
      <c r="A209" s="81" t="s">
        <v>161</v>
      </c>
      <c r="B209" s="167" t="s">
        <v>60</v>
      </c>
      <c r="C209" s="309" t="s">
        <v>427</v>
      </c>
      <c r="D209" s="308">
        <v>1</v>
      </c>
      <c r="E209" s="307"/>
      <c r="F209" s="276">
        <f>D209*E209</f>
        <v>0</v>
      </c>
      <c r="H209" s="239"/>
      <c r="I209" s="239"/>
      <c r="J209" s="239"/>
      <c r="K209" s="239"/>
      <c r="L209" s="239"/>
      <c r="M209" s="239"/>
      <c r="N209" s="239"/>
      <c r="O209" s="239"/>
      <c r="P209" s="239"/>
      <c r="Q209" s="250"/>
      <c r="R209" s="261"/>
      <c r="S209" s="222">
        <f t="shared" si="8"/>
        <v>0</v>
      </c>
      <c r="T209" s="228">
        <f t="shared" si="9"/>
        <v>0</v>
      </c>
      <c r="U209" s="222">
        <f t="shared" si="10"/>
        <v>0</v>
      </c>
      <c r="V209" s="222">
        <f t="shared" si="11"/>
        <v>0</v>
      </c>
      <c r="W209" s="228">
        <f t="shared" si="12"/>
        <v>0</v>
      </c>
      <c r="X209" s="228"/>
    </row>
    <row r="210" spans="1:25" x14ac:dyDescent="0.25">
      <c r="B210" s="167"/>
      <c r="C210" s="306"/>
      <c r="D210" s="305"/>
      <c r="E210" s="304"/>
      <c r="F210" s="276"/>
      <c r="H210" s="239"/>
      <c r="I210" s="239"/>
      <c r="J210" s="239"/>
      <c r="K210" s="239"/>
      <c r="L210" s="239"/>
      <c r="M210" s="239"/>
      <c r="N210" s="239"/>
      <c r="O210" s="239"/>
      <c r="P210" s="239"/>
      <c r="Q210" s="250"/>
      <c r="R210" s="256"/>
      <c r="S210" s="222"/>
      <c r="T210" s="228"/>
      <c r="U210" s="222"/>
      <c r="V210" s="222"/>
      <c r="W210" s="228"/>
      <c r="X210" s="228"/>
    </row>
    <row r="211" spans="1:25" ht="13.8" thickBot="1" x14ac:dyDescent="0.3">
      <c r="A211" s="103"/>
      <c r="B211" s="150" t="s">
        <v>118</v>
      </c>
      <c r="C211" s="294"/>
      <c r="D211" s="293"/>
      <c r="E211" s="292"/>
      <c r="F211" s="316">
        <f>SUM(F205:F209)</f>
        <v>0</v>
      </c>
      <c r="G211" s="316">
        <f>SUM(G205:G209)</f>
        <v>0</v>
      </c>
      <c r="H211" s="286"/>
      <c r="I211" s="286"/>
      <c r="J211" s="286"/>
      <c r="K211" s="286"/>
      <c r="L211" s="286"/>
      <c r="M211" s="286"/>
      <c r="N211" s="286"/>
      <c r="O211" s="286"/>
      <c r="P211" s="286"/>
      <c r="Q211" s="312"/>
      <c r="R211" s="311"/>
      <c r="S211" s="234">
        <f t="shared" si="8"/>
        <v>0</v>
      </c>
      <c r="T211" s="235">
        <f t="shared" si="9"/>
        <v>0</v>
      </c>
      <c r="U211" s="234">
        <f t="shared" si="10"/>
        <v>0</v>
      </c>
      <c r="V211" s="234">
        <f t="shared" si="11"/>
        <v>0</v>
      </c>
      <c r="W211" s="235">
        <f t="shared" si="12"/>
        <v>0</v>
      </c>
      <c r="X211" s="235"/>
    </row>
    <row r="212" spans="1:25" ht="13.8" thickTop="1" x14ac:dyDescent="0.25">
      <c r="B212" s="167"/>
      <c r="F212" s="276"/>
      <c r="H212" s="239"/>
      <c r="I212" s="239"/>
      <c r="J212" s="239"/>
      <c r="K212" s="239"/>
      <c r="L212" s="239"/>
      <c r="M212" s="239"/>
      <c r="N212" s="239"/>
      <c r="O212" s="239"/>
      <c r="P212" s="239"/>
      <c r="Q212" s="250"/>
      <c r="R212" s="256"/>
      <c r="S212" s="222"/>
      <c r="T212" s="228"/>
      <c r="U212" s="222"/>
      <c r="V212" s="222"/>
      <c r="W212" s="228"/>
      <c r="X212" s="228"/>
    </row>
    <row r="213" spans="1:25" x14ac:dyDescent="0.25">
      <c r="A213" s="129">
        <v>6</v>
      </c>
      <c r="B213" s="130" t="s">
        <v>119</v>
      </c>
      <c r="C213" s="329"/>
      <c r="D213" s="328"/>
      <c r="E213" s="327"/>
      <c r="F213" s="327"/>
      <c r="G213" s="151"/>
      <c r="H213" s="238"/>
      <c r="I213" s="238"/>
      <c r="J213" s="238"/>
      <c r="K213" s="238"/>
      <c r="L213" s="238"/>
      <c r="M213" s="238"/>
      <c r="N213" s="238"/>
      <c r="O213" s="238"/>
      <c r="P213" s="238"/>
      <c r="Q213" s="251"/>
      <c r="R213" s="259"/>
      <c r="S213" s="227"/>
      <c r="T213" s="229"/>
      <c r="U213" s="227"/>
      <c r="V213" s="227"/>
      <c r="W213" s="229"/>
      <c r="X213" s="229"/>
    </row>
    <row r="214" spans="1:25" x14ac:dyDescent="0.25">
      <c r="A214" s="103" t="s">
        <v>120</v>
      </c>
      <c r="B214" s="103" t="s">
        <v>77</v>
      </c>
      <c r="C214" s="326"/>
      <c r="D214" s="325"/>
      <c r="E214" s="324"/>
      <c r="F214" s="320"/>
      <c r="G214" s="39"/>
      <c r="H214" s="239"/>
      <c r="I214" s="239"/>
      <c r="J214" s="239"/>
      <c r="K214" s="239"/>
      <c r="L214" s="239"/>
      <c r="M214" s="239"/>
      <c r="N214" s="239"/>
      <c r="O214" s="239"/>
      <c r="P214" s="239"/>
      <c r="Q214" s="250"/>
      <c r="R214" s="255"/>
      <c r="S214" s="222"/>
      <c r="T214" s="228"/>
      <c r="U214" s="222"/>
      <c r="V214" s="222"/>
      <c r="W214" s="228"/>
      <c r="X214" s="228"/>
    </row>
    <row r="215" spans="1:25" x14ac:dyDescent="0.25">
      <c r="A215" s="113" t="s">
        <v>121</v>
      </c>
      <c r="B215" s="174" t="s">
        <v>78</v>
      </c>
      <c r="C215" s="309"/>
      <c r="D215" s="308"/>
      <c r="E215" s="307"/>
      <c r="F215" s="320">
        <f>D215*E215</f>
        <v>0</v>
      </c>
      <c r="G215" s="39">
        <f>F215*C4</f>
        <v>0</v>
      </c>
      <c r="H215" s="239"/>
      <c r="I215" s="239"/>
      <c r="J215" s="239"/>
      <c r="K215" s="239"/>
      <c r="L215" s="239"/>
      <c r="M215" s="239"/>
      <c r="N215" s="239"/>
      <c r="O215" s="239"/>
      <c r="P215" s="239"/>
      <c r="Q215" s="250"/>
      <c r="R215" s="261"/>
      <c r="S215" s="222">
        <f t="shared" si="8"/>
        <v>0</v>
      </c>
      <c r="T215" s="228">
        <f t="shared" si="9"/>
        <v>0</v>
      </c>
      <c r="U215" s="222">
        <f t="shared" si="10"/>
        <v>0</v>
      </c>
      <c r="V215" s="222">
        <f t="shared" si="11"/>
        <v>0</v>
      </c>
      <c r="W215" s="228">
        <f t="shared" si="12"/>
        <v>0</v>
      </c>
      <c r="X215" s="228"/>
    </row>
    <row r="216" spans="1:25" x14ac:dyDescent="0.25">
      <c r="A216" s="113" t="s">
        <v>122</v>
      </c>
      <c r="B216" s="174" t="s">
        <v>79</v>
      </c>
      <c r="C216" s="309"/>
      <c r="D216" s="308"/>
      <c r="E216" s="307"/>
      <c r="F216" s="320">
        <f>D216*E216</f>
        <v>0</v>
      </c>
      <c r="G216" s="39">
        <f>F216*C4</f>
        <v>0</v>
      </c>
      <c r="H216" s="239"/>
      <c r="I216" s="239"/>
      <c r="J216" s="239"/>
      <c r="K216" s="239"/>
      <c r="L216" s="239"/>
      <c r="M216" s="239"/>
      <c r="N216" s="239"/>
      <c r="O216" s="239"/>
      <c r="P216" s="239"/>
      <c r="Q216" s="250"/>
      <c r="R216" s="261"/>
      <c r="S216" s="222">
        <f t="shared" si="8"/>
        <v>0</v>
      </c>
      <c r="T216" s="228">
        <f t="shared" si="9"/>
        <v>0</v>
      </c>
      <c r="U216" s="222">
        <f t="shared" si="10"/>
        <v>0</v>
      </c>
      <c r="V216" s="222">
        <f t="shared" si="11"/>
        <v>0</v>
      </c>
      <c r="W216" s="228">
        <f t="shared" si="12"/>
        <v>0</v>
      </c>
      <c r="X216" s="228"/>
    </row>
    <row r="217" spans="1:25" x14ac:dyDescent="0.25">
      <c r="A217" s="113" t="s">
        <v>123</v>
      </c>
      <c r="B217" s="174" t="s">
        <v>80</v>
      </c>
      <c r="C217" s="309"/>
      <c r="D217" s="308"/>
      <c r="E217" s="307"/>
      <c r="F217" s="320">
        <f>D217*E217</f>
        <v>0</v>
      </c>
      <c r="G217" s="39">
        <f>F217*C4</f>
        <v>0</v>
      </c>
      <c r="H217" s="239"/>
      <c r="I217" s="239"/>
      <c r="J217" s="239"/>
      <c r="K217" s="239"/>
      <c r="L217" s="239"/>
      <c r="M217" s="239"/>
      <c r="N217" s="239"/>
      <c r="O217" s="239"/>
      <c r="P217" s="239"/>
      <c r="Q217" s="250"/>
      <c r="R217" s="261"/>
      <c r="S217" s="222">
        <f t="shared" si="8"/>
        <v>0</v>
      </c>
      <c r="T217" s="228">
        <f t="shared" si="9"/>
        <v>0</v>
      </c>
      <c r="U217" s="222">
        <f t="shared" si="10"/>
        <v>0</v>
      </c>
      <c r="V217" s="222">
        <f t="shared" si="11"/>
        <v>0</v>
      </c>
      <c r="W217" s="228">
        <f t="shared" si="12"/>
        <v>0</v>
      </c>
      <c r="X217" s="228"/>
    </row>
    <row r="218" spans="1:25" ht="15.75" customHeight="1" x14ac:dyDescent="0.25">
      <c r="A218" s="113" t="s">
        <v>124</v>
      </c>
      <c r="B218" s="174" t="s">
        <v>428</v>
      </c>
      <c r="C218" s="309" t="s">
        <v>429</v>
      </c>
      <c r="D218" s="308"/>
      <c r="E218" s="307"/>
      <c r="F218" s="320">
        <f>D218*E218</f>
        <v>0</v>
      </c>
      <c r="G218" s="39"/>
      <c r="H218" s="239"/>
      <c r="I218" s="239"/>
      <c r="J218" s="239"/>
      <c r="K218" s="239"/>
      <c r="L218" s="239"/>
      <c r="M218" s="239"/>
      <c r="N218" s="239"/>
      <c r="O218" s="239"/>
      <c r="P218" s="239"/>
      <c r="Q218" s="250"/>
      <c r="R218" s="261"/>
      <c r="S218" s="222">
        <f t="shared" ref="S218:S253" si="14">R218-F218</f>
        <v>0</v>
      </c>
      <c r="T218" s="228">
        <f t="shared" ref="T218:T253" si="15">IF(F218=0,0,S218/F218)</f>
        <v>0</v>
      </c>
      <c r="U218" s="222">
        <f t="shared" ref="U218:U253" si="16">R218*$C$4</f>
        <v>0</v>
      </c>
      <c r="V218" s="222">
        <f t="shared" ref="V218:V253" si="17">U218-G218</f>
        <v>0</v>
      </c>
      <c r="W218" s="228">
        <f t="shared" ref="W218:W253" si="18">IF(G218=0,0,V218/G218)</f>
        <v>0</v>
      </c>
      <c r="X218" s="228"/>
    </row>
    <row r="219" spans="1:25" x14ac:dyDescent="0.25">
      <c r="A219" s="103"/>
      <c r="B219" s="174"/>
      <c r="C219" s="323"/>
      <c r="D219" s="322"/>
      <c r="E219" s="321"/>
      <c r="F219" s="320"/>
      <c r="G219" s="39"/>
      <c r="H219" s="239"/>
      <c r="I219" s="239"/>
      <c r="J219" s="239"/>
      <c r="K219" s="239"/>
      <c r="L219" s="239"/>
      <c r="M219" s="239"/>
      <c r="N219" s="239"/>
      <c r="O219" s="239"/>
      <c r="P219" s="239"/>
      <c r="Q219" s="250"/>
      <c r="R219" s="255"/>
      <c r="S219" s="222"/>
      <c r="T219" s="228"/>
      <c r="U219" s="222"/>
      <c r="V219" s="222"/>
      <c r="W219" s="228"/>
      <c r="X219" s="228"/>
    </row>
    <row r="220" spans="1:25" ht="13.8" thickBot="1" x14ac:dyDescent="0.3">
      <c r="A220" s="103"/>
      <c r="B220" s="150" t="s">
        <v>82</v>
      </c>
      <c r="C220" s="319"/>
      <c r="D220" s="318"/>
      <c r="E220" s="317"/>
      <c r="F220" s="316">
        <f>SUM(F215:F218)</f>
        <v>0</v>
      </c>
      <c r="G220" s="316"/>
      <c r="H220" s="286"/>
      <c r="I220" s="286"/>
      <c r="J220" s="286"/>
      <c r="K220" s="286"/>
      <c r="L220" s="286"/>
      <c r="M220" s="286"/>
      <c r="N220" s="286"/>
      <c r="O220" s="286"/>
      <c r="P220" s="286"/>
      <c r="Q220" s="312"/>
      <c r="R220" s="311"/>
      <c r="S220" s="234">
        <f t="shared" si="14"/>
        <v>0</v>
      </c>
      <c r="T220" s="235">
        <f t="shared" si="15"/>
        <v>0</v>
      </c>
      <c r="U220" s="234">
        <f t="shared" si="16"/>
        <v>0</v>
      </c>
      <c r="V220" s="234">
        <f t="shared" si="17"/>
        <v>0</v>
      </c>
      <c r="W220" s="235">
        <f t="shared" si="18"/>
        <v>0</v>
      </c>
      <c r="X220" s="235"/>
    </row>
    <row r="221" spans="1:25" ht="13.8" thickTop="1" x14ac:dyDescent="0.25">
      <c r="B221" s="178"/>
      <c r="F221" s="285"/>
      <c r="H221" s="239"/>
      <c r="I221" s="239"/>
      <c r="J221" s="239"/>
      <c r="K221" s="239"/>
      <c r="L221" s="239"/>
      <c r="M221" s="239"/>
      <c r="N221" s="239"/>
      <c r="O221" s="239"/>
      <c r="P221" s="239"/>
      <c r="Q221" s="250"/>
      <c r="R221" s="256"/>
      <c r="S221" s="222"/>
      <c r="T221" s="228"/>
      <c r="U221" s="222"/>
      <c r="V221" s="222"/>
      <c r="W221" s="228"/>
      <c r="X221" s="228"/>
    </row>
    <row r="222" spans="1:25" x14ac:dyDescent="0.25">
      <c r="A222" s="103" t="s">
        <v>125</v>
      </c>
      <c r="B222" s="103" t="s">
        <v>198</v>
      </c>
      <c r="C222" s="326"/>
      <c r="D222" s="325"/>
      <c r="E222" s="324"/>
      <c r="F222" s="320"/>
      <c r="G222" s="39"/>
      <c r="H222" s="239"/>
      <c r="I222" s="239"/>
      <c r="J222" s="239"/>
      <c r="K222" s="239"/>
      <c r="L222" s="239"/>
      <c r="M222" s="239"/>
      <c r="N222" s="239"/>
      <c r="O222" s="239"/>
      <c r="P222" s="239"/>
      <c r="Q222" s="250"/>
      <c r="R222" s="255"/>
      <c r="S222" s="222"/>
      <c r="T222" s="228"/>
      <c r="U222" s="222"/>
      <c r="V222" s="222"/>
      <c r="W222" s="228"/>
      <c r="X222" s="228"/>
    </row>
    <row r="223" spans="1:25" x14ac:dyDescent="0.25">
      <c r="A223" s="113" t="s">
        <v>126</v>
      </c>
      <c r="B223" s="174" t="s">
        <v>135</v>
      </c>
      <c r="C223" s="309"/>
      <c r="D223" s="308"/>
      <c r="E223" s="307"/>
      <c r="F223" s="320">
        <f>D223*E223</f>
        <v>0</v>
      </c>
      <c r="G223" s="39">
        <f>F223*C4</f>
        <v>0</v>
      </c>
      <c r="H223" s="239"/>
      <c r="I223" s="239"/>
      <c r="J223" s="239"/>
      <c r="K223" s="239"/>
      <c r="L223" s="239"/>
      <c r="M223" s="239"/>
      <c r="N223" s="239"/>
      <c r="O223" s="239"/>
      <c r="P223" s="239"/>
      <c r="Q223" s="250"/>
      <c r="R223" s="261"/>
      <c r="S223" s="222">
        <f t="shared" si="14"/>
        <v>0</v>
      </c>
      <c r="T223" s="228">
        <f t="shared" si="15"/>
        <v>0</v>
      </c>
      <c r="U223" s="222">
        <f t="shared" si="16"/>
        <v>0</v>
      </c>
      <c r="V223" s="222">
        <f t="shared" si="17"/>
        <v>0</v>
      </c>
      <c r="W223" s="228">
        <f t="shared" si="18"/>
        <v>0</v>
      </c>
      <c r="X223" s="228"/>
    </row>
    <row r="224" spans="1:25" x14ac:dyDescent="0.25">
      <c r="A224" s="113" t="s">
        <v>127</v>
      </c>
      <c r="B224" s="174" t="s">
        <v>136</v>
      </c>
      <c r="C224" s="817" t="s">
        <v>482</v>
      </c>
      <c r="D224" s="308">
        <v>1</v>
      </c>
      <c r="E224" s="307">
        <f>C9*1000</f>
        <v>1500000</v>
      </c>
      <c r="F224" s="320">
        <f>E224</f>
        <v>1500000</v>
      </c>
      <c r="G224" s="39">
        <f>F224/C9</f>
        <v>1000</v>
      </c>
      <c r="H224" s="239"/>
      <c r="I224" s="239"/>
      <c r="J224" s="239"/>
      <c r="K224" s="239"/>
      <c r="L224" s="239"/>
      <c r="M224" s="239"/>
      <c r="N224" s="239"/>
      <c r="O224" s="239"/>
      <c r="P224" s="239"/>
      <c r="Q224" s="250"/>
      <c r="R224" s="261"/>
      <c r="S224" s="222">
        <f t="shared" si="14"/>
        <v>-1500000</v>
      </c>
      <c r="T224" s="228">
        <f t="shared" si="15"/>
        <v>-1</v>
      </c>
      <c r="U224" s="222">
        <f t="shared" si="16"/>
        <v>0</v>
      </c>
      <c r="V224" s="222">
        <f t="shared" si="17"/>
        <v>-1000</v>
      </c>
      <c r="W224" s="228">
        <f t="shared" si="18"/>
        <v>-1</v>
      </c>
      <c r="X224" s="228"/>
      <c r="Y224" s="823" t="s">
        <v>919</v>
      </c>
    </row>
    <row r="225" spans="1:25" x14ac:dyDescent="0.25">
      <c r="A225" s="113" t="s">
        <v>128</v>
      </c>
      <c r="B225" s="174" t="s">
        <v>134</v>
      </c>
      <c r="C225" s="309"/>
      <c r="D225" s="308"/>
      <c r="E225" s="307"/>
      <c r="F225" s="320">
        <f>D225*E225</f>
        <v>0</v>
      </c>
      <c r="G225" s="39">
        <f>F225*C4</f>
        <v>0</v>
      </c>
      <c r="H225" s="239"/>
      <c r="I225" s="239"/>
      <c r="J225" s="239"/>
      <c r="K225" s="239"/>
      <c r="L225" s="239"/>
      <c r="M225" s="239"/>
      <c r="N225" s="239"/>
      <c r="O225" s="239"/>
      <c r="P225" s="239"/>
      <c r="Q225" s="250"/>
      <c r="R225" s="261"/>
      <c r="S225" s="222">
        <f t="shared" si="14"/>
        <v>0</v>
      </c>
      <c r="T225" s="228">
        <f t="shared" si="15"/>
        <v>0</v>
      </c>
      <c r="U225" s="222">
        <f t="shared" si="16"/>
        <v>0</v>
      </c>
      <c r="V225" s="222">
        <f t="shared" si="17"/>
        <v>0</v>
      </c>
      <c r="W225" s="228">
        <f t="shared" si="18"/>
        <v>0</v>
      </c>
      <c r="X225" s="228"/>
    </row>
    <row r="226" spans="1:25" x14ac:dyDescent="0.25">
      <c r="A226" s="113" t="s">
        <v>129</v>
      </c>
      <c r="B226" s="174" t="s">
        <v>137</v>
      </c>
      <c r="C226" s="309"/>
      <c r="D226" s="308"/>
      <c r="E226" s="307"/>
      <c r="F226" s="320">
        <f>D226*E226</f>
        <v>0</v>
      </c>
      <c r="G226" s="39">
        <f>F226*C4</f>
        <v>0</v>
      </c>
      <c r="H226" s="239"/>
      <c r="I226" s="239"/>
      <c r="J226" s="239"/>
      <c r="K226" s="239"/>
      <c r="L226" s="239"/>
      <c r="M226" s="239"/>
      <c r="N226" s="239"/>
      <c r="O226" s="239"/>
      <c r="P226" s="239"/>
      <c r="Q226" s="250"/>
      <c r="R226" s="261"/>
      <c r="S226" s="222">
        <f t="shared" si="14"/>
        <v>0</v>
      </c>
      <c r="T226" s="228">
        <f t="shared" si="15"/>
        <v>0</v>
      </c>
      <c r="U226" s="222">
        <f t="shared" si="16"/>
        <v>0</v>
      </c>
      <c r="V226" s="222">
        <f t="shared" si="17"/>
        <v>0</v>
      </c>
      <c r="W226" s="228">
        <f t="shared" si="18"/>
        <v>0</v>
      </c>
      <c r="X226" s="228"/>
    </row>
    <row r="227" spans="1:25" x14ac:dyDescent="0.25">
      <c r="A227" s="825" t="s">
        <v>605</v>
      </c>
      <c r="B227" s="824" t="s">
        <v>920</v>
      </c>
      <c r="C227" s="817" t="s">
        <v>482</v>
      </c>
      <c r="D227" s="308">
        <v>1</v>
      </c>
      <c r="E227" s="307">
        <f>E224</f>
        <v>1500000</v>
      </c>
      <c r="F227" s="320">
        <f>E227</f>
        <v>1500000</v>
      </c>
      <c r="G227" s="39">
        <f>F227/C9</f>
        <v>1000</v>
      </c>
      <c r="H227" s="239"/>
      <c r="I227" s="239"/>
      <c r="J227" s="239"/>
      <c r="K227" s="239"/>
      <c r="L227" s="239"/>
      <c r="M227" s="239"/>
      <c r="N227" s="239"/>
      <c r="O227" s="239"/>
      <c r="P227" s="239"/>
      <c r="Q227" s="250"/>
      <c r="R227" s="255"/>
      <c r="S227" s="222"/>
      <c r="T227" s="228"/>
      <c r="U227" s="222"/>
      <c r="V227" s="222"/>
      <c r="W227" s="228"/>
      <c r="X227" s="228"/>
      <c r="Y227" s="823" t="s">
        <v>921</v>
      </c>
    </row>
    <row r="228" spans="1:25" ht="13.8" thickBot="1" x14ac:dyDescent="0.3">
      <c r="A228" s="103"/>
      <c r="B228" s="150" t="s">
        <v>199</v>
      </c>
      <c r="C228" s="319"/>
      <c r="D228" s="318"/>
      <c r="E228" s="317"/>
      <c r="F228" s="316">
        <f>SUM(F223:F227)</f>
        <v>3000000</v>
      </c>
      <c r="G228" s="316">
        <f>SUM(G223:G227)</f>
        <v>2000</v>
      </c>
      <c r="H228" s="286"/>
      <c r="I228" s="286"/>
      <c r="J228" s="286"/>
      <c r="K228" s="286"/>
      <c r="L228" s="286"/>
      <c r="M228" s="286"/>
      <c r="N228" s="286"/>
      <c r="O228" s="286"/>
      <c r="P228" s="286"/>
      <c r="Q228" s="312"/>
      <c r="R228" s="311"/>
      <c r="S228" s="234">
        <f t="shared" si="14"/>
        <v>-3000000</v>
      </c>
      <c r="T228" s="235">
        <f t="shared" si="15"/>
        <v>-1</v>
      </c>
      <c r="U228" s="234">
        <f t="shared" si="16"/>
        <v>0</v>
      </c>
      <c r="V228" s="234">
        <f t="shared" si="17"/>
        <v>-2000</v>
      </c>
      <c r="W228" s="235">
        <f t="shared" si="18"/>
        <v>-1</v>
      </c>
      <c r="X228" s="235"/>
    </row>
    <row r="229" spans="1:25" ht="13.8" thickTop="1" x14ac:dyDescent="0.25">
      <c r="B229" s="178"/>
      <c r="F229" s="285"/>
      <c r="H229" s="239"/>
      <c r="I229" s="239"/>
      <c r="J229" s="239"/>
      <c r="K229" s="239"/>
      <c r="L229" s="239"/>
      <c r="M229" s="239"/>
      <c r="N229" s="239"/>
      <c r="O229" s="239"/>
      <c r="P229" s="239"/>
      <c r="Q229" s="250"/>
      <c r="R229" s="256"/>
      <c r="S229" s="222"/>
      <c r="T229" s="228"/>
      <c r="U229" s="222"/>
      <c r="V229" s="222"/>
      <c r="W229" s="228"/>
      <c r="X229" s="228"/>
    </row>
    <row r="230" spans="1:25" x14ac:dyDescent="0.25">
      <c r="A230" s="103" t="s">
        <v>163</v>
      </c>
      <c r="B230" s="103" t="s">
        <v>162</v>
      </c>
      <c r="C230" s="326"/>
      <c r="D230" s="325"/>
      <c r="E230" s="324"/>
      <c r="F230" s="320"/>
      <c r="G230" s="39"/>
      <c r="H230" s="239"/>
      <c r="I230" s="239"/>
      <c r="J230" s="239"/>
      <c r="K230" s="239"/>
      <c r="L230" s="239"/>
      <c r="M230" s="239"/>
      <c r="N230" s="239"/>
      <c r="O230" s="239"/>
      <c r="P230" s="239"/>
      <c r="Q230" s="250"/>
      <c r="R230" s="255"/>
      <c r="S230" s="222"/>
      <c r="T230" s="228"/>
      <c r="U230" s="222"/>
      <c r="V230" s="222"/>
      <c r="W230" s="228"/>
      <c r="X230" s="228"/>
    </row>
    <row r="231" spans="1:25" x14ac:dyDescent="0.25">
      <c r="A231" s="113" t="s">
        <v>168</v>
      </c>
      <c r="B231" s="174" t="s">
        <v>307</v>
      </c>
      <c r="C231" s="309"/>
      <c r="D231" s="308"/>
      <c r="E231" s="307"/>
      <c r="F231" s="320">
        <f>D231*E231</f>
        <v>0</v>
      </c>
      <c r="G231" s="39">
        <f>F231*C4</f>
        <v>0</v>
      </c>
      <c r="H231" s="239"/>
      <c r="I231" s="239"/>
      <c r="J231" s="239"/>
      <c r="K231" s="239"/>
      <c r="L231" s="239"/>
      <c r="M231" s="239"/>
      <c r="N231" s="239"/>
      <c r="O231" s="239"/>
      <c r="P231" s="239"/>
      <c r="Q231" s="250"/>
      <c r="R231" s="261"/>
      <c r="S231" s="222">
        <f t="shared" si="14"/>
        <v>0</v>
      </c>
      <c r="T231" s="228">
        <f t="shared" si="15"/>
        <v>0</v>
      </c>
      <c r="U231" s="222">
        <f t="shared" si="16"/>
        <v>0</v>
      </c>
      <c r="V231" s="222">
        <f t="shared" si="17"/>
        <v>0</v>
      </c>
      <c r="W231" s="228">
        <f t="shared" si="18"/>
        <v>0</v>
      </c>
      <c r="X231" s="228"/>
    </row>
    <row r="232" spans="1:25" x14ac:dyDescent="0.25">
      <c r="A232" s="113" t="s">
        <v>169</v>
      </c>
      <c r="B232" s="174" t="s">
        <v>165</v>
      </c>
      <c r="C232" s="309"/>
      <c r="D232" s="308"/>
      <c r="E232" s="307"/>
      <c r="F232" s="320">
        <f>D232*E232</f>
        <v>0</v>
      </c>
      <c r="G232" s="39">
        <f>F232*C4</f>
        <v>0</v>
      </c>
      <c r="H232" s="239"/>
      <c r="I232" s="239"/>
      <c r="J232" s="239"/>
      <c r="K232" s="239"/>
      <c r="L232" s="239"/>
      <c r="M232" s="239"/>
      <c r="N232" s="239"/>
      <c r="O232" s="239"/>
      <c r="P232" s="239"/>
      <c r="Q232" s="250"/>
      <c r="R232" s="261"/>
      <c r="S232" s="222">
        <f t="shared" si="14"/>
        <v>0</v>
      </c>
      <c r="T232" s="228">
        <f t="shared" si="15"/>
        <v>0</v>
      </c>
      <c r="U232" s="222">
        <f t="shared" si="16"/>
        <v>0</v>
      </c>
      <c r="V232" s="222">
        <f t="shared" si="17"/>
        <v>0</v>
      </c>
      <c r="W232" s="228">
        <f t="shared" si="18"/>
        <v>0</v>
      </c>
      <c r="X232" s="228"/>
    </row>
    <row r="233" spans="1:25" x14ac:dyDescent="0.25">
      <c r="A233" s="113" t="s">
        <v>170</v>
      </c>
      <c r="B233" s="174" t="s">
        <v>166</v>
      </c>
      <c r="C233" s="309"/>
      <c r="D233" s="308"/>
      <c r="E233" s="307"/>
      <c r="F233" s="320">
        <f>D233*E233</f>
        <v>0</v>
      </c>
      <c r="G233" s="39">
        <f>F233*C4</f>
        <v>0</v>
      </c>
      <c r="H233" s="239"/>
      <c r="I233" s="239"/>
      <c r="J233" s="239"/>
      <c r="K233" s="239"/>
      <c r="L233" s="239"/>
      <c r="M233" s="239"/>
      <c r="N233" s="239"/>
      <c r="O233" s="239"/>
      <c r="P233" s="239"/>
      <c r="Q233" s="250"/>
      <c r="R233" s="261"/>
      <c r="S233" s="222">
        <f t="shared" si="14"/>
        <v>0</v>
      </c>
      <c r="T233" s="228">
        <f t="shared" si="15"/>
        <v>0</v>
      </c>
      <c r="U233" s="222">
        <f t="shared" si="16"/>
        <v>0</v>
      </c>
      <c r="V233" s="222">
        <f t="shared" si="17"/>
        <v>0</v>
      </c>
      <c r="W233" s="228">
        <f t="shared" si="18"/>
        <v>0</v>
      </c>
      <c r="X233" s="228"/>
    </row>
    <row r="234" spans="1:25" x14ac:dyDescent="0.25">
      <c r="A234" s="103"/>
      <c r="B234" s="174"/>
      <c r="C234" s="323"/>
      <c r="D234" s="322"/>
      <c r="E234" s="321"/>
      <c r="F234" s="320"/>
      <c r="G234" s="39"/>
      <c r="H234" s="239"/>
      <c r="I234" s="239"/>
      <c r="J234" s="239"/>
      <c r="K234" s="239"/>
      <c r="L234" s="239"/>
      <c r="M234" s="239"/>
      <c r="N234" s="239"/>
      <c r="O234" s="239"/>
      <c r="P234" s="239"/>
      <c r="Q234" s="250"/>
      <c r="R234" s="255"/>
      <c r="S234" s="234"/>
      <c r="T234" s="235"/>
      <c r="U234" s="234"/>
      <c r="V234" s="234"/>
      <c r="W234" s="235"/>
      <c r="X234" s="235"/>
    </row>
    <row r="235" spans="1:25" ht="13.8" thickBot="1" x14ac:dyDescent="0.3">
      <c r="A235" s="103"/>
      <c r="B235" s="150" t="s">
        <v>167</v>
      </c>
      <c r="C235" s="319"/>
      <c r="D235" s="318"/>
      <c r="E235" s="317"/>
      <c r="F235" s="316">
        <f>SUM(F231:F233)</f>
        <v>0</v>
      </c>
      <c r="G235" s="316">
        <f>SUM(G231:G233)</f>
        <v>0</v>
      </c>
      <c r="H235" s="286"/>
      <c r="I235" s="286"/>
      <c r="J235" s="286"/>
      <c r="K235" s="286"/>
      <c r="L235" s="286"/>
      <c r="M235" s="286"/>
      <c r="N235" s="286"/>
      <c r="O235" s="286"/>
      <c r="P235" s="286"/>
      <c r="Q235" s="312"/>
      <c r="R235" s="311"/>
      <c r="S235" s="234">
        <f t="shared" si="14"/>
        <v>0</v>
      </c>
      <c r="T235" s="235">
        <f t="shared" si="15"/>
        <v>0</v>
      </c>
      <c r="U235" s="234">
        <f t="shared" si="16"/>
        <v>0</v>
      </c>
      <c r="V235" s="234">
        <f t="shared" si="17"/>
        <v>0</v>
      </c>
      <c r="W235" s="235">
        <f t="shared" si="18"/>
        <v>0</v>
      </c>
      <c r="X235" s="235"/>
    </row>
    <row r="236" spans="1:25" ht="13.8" thickTop="1" x14ac:dyDescent="0.25">
      <c r="A236" s="103"/>
      <c r="B236" s="150"/>
      <c r="C236" s="294"/>
      <c r="D236" s="293"/>
      <c r="E236" s="292"/>
      <c r="F236" s="315"/>
      <c r="G236" s="315"/>
      <c r="H236" s="286"/>
      <c r="I236" s="286"/>
      <c r="J236" s="286"/>
      <c r="K236" s="286"/>
      <c r="L236" s="286"/>
      <c r="M236" s="286"/>
      <c r="N236" s="286"/>
      <c r="O236" s="286"/>
      <c r="P236" s="286"/>
      <c r="Q236" s="312"/>
      <c r="R236" s="314"/>
      <c r="S236" s="222"/>
      <c r="T236" s="228"/>
      <c r="U236" s="222"/>
      <c r="V236" s="222"/>
      <c r="W236" s="228"/>
      <c r="X236" s="228"/>
    </row>
    <row r="237" spans="1:25" ht="13.8" thickBot="1" x14ac:dyDescent="0.3">
      <c r="A237" s="180"/>
      <c r="B237" s="181" t="s">
        <v>53</v>
      </c>
      <c r="C237" s="303"/>
      <c r="D237" s="302"/>
      <c r="E237" s="301"/>
      <c r="F237" s="313">
        <f>F183+F169+F104</f>
        <v>566200000</v>
      </c>
      <c r="G237" s="313">
        <f>G183+G169+G104</f>
        <v>377466.67000000004</v>
      </c>
      <c r="H237" s="286"/>
      <c r="I237" s="286"/>
      <c r="J237" s="286"/>
      <c r="K237" s="286"/>
      <c r="L237" s="286"/>
      <c r="M237" s="286"/>
      <c r="N237" s="286"/>
      <c r="O237" s="286"/>
      <c r="P237" s="286"/>
      <c r="Q237" s="312"/>
      <c r="R237" s="311"/>
      <c r="S237" s="296">
        <f t="shared" si="14"/>
        <v>-566200000</v>
      </c>
      <c r="T237" s="295">
        <f t="shared" si="15"/>
        <v>-1</v>
      </c>
      <c r="U237" s="296">
        <f t="shared" si="16"/>
        <v>0</v>
      </c>
      <c r="V237" s="296">
        <f t="shared" si="17"/>
        <v>-377466.67000000004</v>
      </c>
      <c r="W237" s="295">
        <f t="shared" si="18"/>
        <v>-1</v>
      </c>
      <c r="X237" s="295"/>
    </row>
    <row r="238" spans="1:25" ht="13.8" thickTop="1" x14ac:dyDescent="0.25">
      <c r="B238" s="91"/>
      <c r="F238" s="276"/>
      <c r="H238" s="239"/>
      <c r="I238" s="239"/>
      <c r="J238" s="239"/>
      <c r="K238" s="239"/>
      <c r="L238" s="239"/>
      <c r="M238" s="239"/>
      <c r="N238" s="239"/>
      <c r="O238" s="239"/>
      <c r="P238" s="239"/>
      <c r="Q238" s="250"/>
      <c r="R238" s="256"/>
      <c r="S238" s="222"/>
      <c r="T238" s="228"/>
      <c r="U238" s="222"/>
      <c r="V238" s="222"/>
      <c r="W238" s="228"/>
      <c r="X238" s="228"/>
    </row>
    <row r="239" spans="1:25" x14ac:dyDescent="0.25">
      <c r="A239" s="74" t="s">
        <v>61</v>
      </c>
      <c r="F239" s="276"/>
      <c r="H239" s="239"/>
      <c r="I239" s="239"/>
      <c r="J239" s="239"/>
      <c r="K239" s="239"/>
      <c r="L239" s="239"/>
      <c r="M239" s="239"/>
      <c r="N239" s="239"/>
      <c r="O239" s="239"/>
      <c r="P239" s="239"/>
      <c r="Q239" s="250"/>
      <c r="R239" s="256"/>
      <c r="S239" s="222"/>
      <c r="T239" s="228"/>
      <c r="U239" s="222"/>
      <c r="V239" s="222"/>
      <c r="W239" s="228"/>
      <c r="X239" s="228"/>
    </row>
    <row r="240" spans="1:25" x14ac:dyDescent="0.25">
      <c r="A240" s="74" t="s">
        <v>18</v>
      </c>
      <c r="B240" s="185" t="s">
        <v>430</v>
      </c>
      <c r="F240" s="276"/>
      <c r="H240" s="239"/>
      <c r="I240" s="239"/>
      <c r="J240" s="239"/>
      <c r="K240" s="239"/>
      <c r="L240" s="239"/>
      <c r="M240" s="239"/>
      <c r="N240" s="239"/>
      <c r="O240" s="239"/>
      <c r="P240" s="239"/>
      <c r="Q240" s="250"/>
      <c r="R240" s="256"/>
      <c r="S240" s="222"/>
      <c r="T240" s="228"/>
      <c r="U240" s="222"/>
      <c r="V240" s="222"/>
      <c r="W240" s="228"/>
      <c r="X240" s="228"/>
    </row>
    <row r="241" spans="1:25" x14ac:dyDescent="0.25">
      <c r="B241" s="141" t="s">
        <v>431</v>
      </c>
      <c r="C241" s="309" t="s">
        <v>432</v>
      </c>
      <c r="D241" s="308">
        <v>12</v>
      </c>
      <c r="E241" s="307">
        <v>1500000</v>
      </c>
      <c r="F241" s="276">
        <f>E241*D241</f>
        <v>18000000</v>
      </c>
      <c r="G241" s="35">
        <v>12000</v>
      </c>
      <c r="H241" s="239"/>
      <c r="I241" s="239"/>
      <c r="J241" s="239"/>
      <c r="K241" s="239"/>
      <c r="L241" s="239"/>
      <c r="M241" s="239"/>
      <c r="N241" s="239"/>
      <c r="O241" s="239"/>
      <c r="P241" s="239"/>
      <c r="Q241" s="250"/>
      <c r="R241" s="261"/>
      <c r="S241" s="222">
        <f t="shared" si="14"/>
        <v>-18000000</v>
      </c>
      <c r="T241" s="228">
        <f t="shared" si="15"/>
        <v>-1</v>
      </c>
      <c r="U241" s="222">
        <f t="shared" si="16"/>
        <v>0</v>
      </c>
      <c r="V241" s="222">
        <f t="shared" si="17"/>
        <v>-12000</v>
      </c>
      <c r="W241" s="228">
        <f t="shared" si="18"/>
        <v>-1</v>
      </c>
      <c r="X241" s="228"/>
    </row>
    <row r="242" spans="1:25" ht="21" customHeight="1" x14ac:dyDescent="0.25">
      <c r="B242" s="141" t="s">
        <v>433</v>
      </c>
      <c r="C242" s="309" t="s">
        <v>432</v>
      </c>
      <c r="D242" s="308">
        <v>12</v>
      </c>
      <c r="E242" s="307">
        <v>625000</v>
      </c>
      <c r="F242" s="276">
        <f>E242*D242</f>
        <v>7500000</v>
      </c>
      <c r="G242" s="35">
        <v>5000</v>
      </c>
      <c r="H242" s="239"/>
      <c r="I242" s="239"/>
      <c r="J242" s="239"/>
      <c r="K242" s="239"/>
      <c r="L242" s="239"/>
      <c r="M242" s="239"/>
      <c r="N242" s="239"/>
      <c r="O242" s="239"/>
      <c r="P242" s="239"/>
      <c r="Q242" s="250"/>
      <c r="R242" s="261"/>
      <c r="S242" s="222">
        <f t="shared" si="14"/>
        <v>-7500000</v>
      </c>
      <c r="T242" s="228">
        <f t="shared" si="15"/>
        <v>-1</v>
      </c>
      <c r="U242" s="222">
        <f t="shared" si="16"/>
        <v>0</v>
      </c>
      <c r="V242" s="222">
        <f t="shared" si="17"/>
        <v>-5000</v>
      </c>
      <c r="W242" s="228">
        <f t="shared" si="18"/>
        <v>-1</v>
      </c>
      <c r="X242" s="228"/>
    </row>
    <row r="243" spans="1:25" ht="26.4" x14ac:dyDescent="0.25">
      <c r="B243" s="153" t="s">
        <v>63</v>
      </c>
      <c r="C243" s="309" t="s">
        <v>432</v>
      </c>
      <c r="D243" s="308">
        <v>12</v>
      </c>
      <c r="E243" s="307">
        <v>600000</v>
      </c>
      <c r="F243" s="276">
        <f>E243*D243</f>
        <v>7200000</v>
      </c>
      <c r="G243" s="35">
        <v>4800</v>
      </c>
      <c r="H243" s="239"/>
      <c r="I243" s="239"/>
      <c r="J243" s="239"/>
      <c r="K243" s="239"/>
      <c r="L243" s="239"/>
      <c r="M243" s="239"/>
      <c r="N243" s="239"/>
      <c r="O243" s="239"/>
      <c r="P243" s="239"/>
      <c r="Q243" s="250"/>
      <c r="R243" s="261"/>
      <c r="S243" s="222">
        <f t="shared" si="14"/>
        <v>-7200000</v>
      </c>
      <c r="T243" s="228">
        <f t="shared" si="15"/>
        <v>-1</v>
      </c>
      <c r="U243" s="222">
        <f t="shared" si="16"/>
        <v>0</v>
      </c>
      <c r="V243" s="222">
        <f t="shared" si="17"/>
        <v>-4800</v>
      </c>
      <c r="W243" s="228">
        <f t="shared" si="18"/>
        <v>-1</v>
      </c>
      <c r="X243" s="228"/>
    </row>
    <row r="244" spans="1:25" x14ac:dyDescent="0.25">
      <c r="B244" s="186" t="s">
        <v>39</v>
      </c>
      <c r="C244" s="306"/>
      <c r="D244" s="305"/>
      <c r="E244" s="304"/>
      <c r="F244" s="276"/>
      <c r="H244" s="239"/>
      <c r="I244" s="239"/>
      <c r="J244" s="239"/>
      <c r="K244" s="239"/>
      <c r="L244" s="239"/>
      <c r="M244" s="239"/>
      <c r="N244" s="239"/>
      <c r="O244" s="239"/>
      <c r="P244" s="239"/>
      <c r="Q244" s="250"/>
      <c r="R244" s="256"/>
      <c r="S244" s="222"/>
      <c r="T244" s="228"/>
      <c r="U244" s="222"/>
      <c r="V244" s="222"/>
      <c r="W244" s="228"/>
      <c r="X244" s="228"/>
    </row>
    <row r="245" spans="1:25" x14ac:dyDescent="0.25">
      <c r="B245" s="141" t="s">
        <v>40</v>
      </c>
      <c r="C245" s="309" t="s">
        <v>432</v>
      </c>
      <c r="D245" s="308">
        <v>12</v>
      </c>
      <c r="E245" s="307">
        <v>641625</v>
      </c>
      <c r="F245" s="276">
        <f>D245*E245</f>
        <v>7699500</v>
      </c>
      <c r="G245" s="35">
        <v>5133</v>
      </c>
      <c r="H245" s="239"/>
      <c r="I245" s="239"/>
      <c r="J245" s="239"/>
      <c r="K245" s="239"/>
      <c r="L245" s="239"/>
      <c r="M245" s="239"/>
      <c r="N245" s="239"/>
      <c r="O245" s="239"/>
      <c r="P245" s="239"/>
      <c r="Q245" s="250"/>
      <c r="R245" s="261"/>
      <c r="S245" s="222">
        <f t="shared" si="14"/>
        <v>-7699500</v>
      </c>
      <c r="T245" s="228">
        <f t="shared" si="15"/>
        <v>-1</v>
      </c>
      <c r="U245" s="222">
        <f t="shared" si="16"/>
        <v>0</v>
      </c>
      <c r="V245" s="222">
        <f t="shared" si="17"/>
        <v>-5133</v>
      </c>
      <c r="W245" s="228">
        <f t="shared" si="18"/>
        <v>-1</v>
      </c>
      <c r="X245" s="228"/>
    </row>
    <row r="246" spans="1:25" x14ac:dyDescent="0.25">
      <c r="B246" s="141" t="s">
        <v>41</v>
      </c>
      <c r="C246" s="309" t="s">
        <v>432</v>
      </c>
      <c r="D246" s="308"/>
      <c r="E246" s="307"/>
      <c r="F246" s="276"/>
      <c r="H246" s="239"/>
      <c r="I246" s="239"/>
      <c r="J246" s="239"/>
      <c r="K246" s="239"/>
      <c r="L246" s="239"/>
      <c r="M246" s="239"/>
      <c r="N246" s="239"/>
      <c r="O246" s="239"/>
      <c r="P246" s="239"/>
      <c r="Q246" s="250"/>
      <c r="R246" s="261"/>
      <c r="S246" s="222">
        <f t="shared" si="14"/>
        <v>0</v>
      </c>
      <c r="T246" s="228">
        <f t="shared" si="15"/>
        <v>0</v>
      </c>
      <c r="U246" s="222">
        <f t="shared" si="16"/>
        <v>0</v>
      </c>
      <c r="V246" s="222">
        <f t="shared" si="17"/>
        <v>0</v>
      </c>
      <c r="W246" s="228">
        <f t="shared" si="18"/>
        <v>0</v>
      </c>
      <c r="X246" s="228"/>
    </row>
    <row r="247" spans="1:25" x14ac:dyDescent="0.25">
      <c r="B247" s="141" t="s">
        <v>42</v>
      </c>
      <c r="C247" s="309" t="s">
        <v>434</v>
      </c>
      <c r="D247" s="308"/>
      <c r="E247" s="307"/>
      <c r="F247" s="276"/>
      <c r="H247" s="239"/>
      <c r="I247" s="239"/>
      <c r="J247" s="239"/>
      <c r="K247" s="239"/>
      <c r="L247" s="239"/>
      <c r="M247" s="239"/>
      <c r="N247" s="239"/>
      <c r="O247" s="239"/>
      <c r="P247" s="239"/>
      <c r="Q247" s="250"/>
      <c r="R247" s="261"/>
      <c r="S247" s="222">
        <f t="shared" si="14"/>
        <v>0</v>
      </c>
      <c r="T247" s="228">
        <f t="shared" si="15"/>
        <v>0</v>
      </c>
      <c r="U247" s="222">
        <f t="shared" si="16"/>
        <v>0</v>
      </c>
      <c r="V247" s="222">
        <f t="shared" si="17"/>
        <v>0</v>
      </c>
      <c r="W247" s="228">
        <f t="shared" si="18"/>
        <v>0</v>
      </c>
      <c r="X247" s="228"/>
    </row>
    <row r="248" spans="1:25" x14ac:dyDescent="0.25">
      <c r="B248" s="186" t="s">
        <v>43</v>
      </c>
      <c r="C248" s="306"/>
      <c r="D248" s="305"/>
      <c r="E248" s="304"/>
      <c r="F248" s="276"/>
      <c r="H248" s="239"/>
      <c r="I248" s="239"/>
      <c r="J248" s="239"/>
      <c r="K248" s="239"/>
      <c r="L248" s="239"/>
      <c r="M248" s="239"/>
      <c r="N248" s="239"/>
      <c r="O248" s="239"/>
      <c r="P248" s="239"/>
      <c r="Q248" s="250"/>
      <c r="R248" s="256"/>
      <c r="S248" s="222"/>
      <c r="T248" s="228"/>
      <c r="U248" s="222"/>
      <c r="V248" s="222"/>
      <c r="W248" s="228"/>
      <c r="X248" s="228"/>
    </row>
    <row r="249" spans="1:25" x14ac:dyDescent="0.25">
      <c r="B249" s="141" t="s">
        <v>44</v>
      </c>
      <c r="C249" s="309" t="s">
        <v>432</v>
      </c>
      <c r="D249" s="308"/>
      <c r="E249" s="307"/>
      <c r="F249" s="276"/>
      <c r="H249" s="239"/>
      <c r="I249" s="239"/>
      <c r="J249" s="239"/>
      <c r="K249" s="239"/>
      <c r="L249" s="239"/>
      <c r="M249" s="239"/>
      <c r="N249" s="239"/>
      <c r="O249" s="239"/>
      <c r="P249" s="239"/>
      <c r="Q249" s="250"/>
      <c r="R249" s="261"/>
      <c r="S249" s="222">
        <f t="shared" si="14"/>
        <v>0</v>
      </c>
      <c r="T249" s="228">
        <f t="shared" si="15"/>
        <v>0</v>
      </c>
      <c r="U249" s="222">
        <f t="shared" si="16"/>
        <v>0</v>
      </c>
      <c r="V249" s="222">
        <f t="shared" si="17"/>
        <v>0</v>
      </c>
      <c r="W249" s="228">
        <f t="shared" si="18"/>
        <v>0</v>
      </c>
      <c r="X249" s="228"/>
    </row>
    <row r="250" spans="1:25" x14ac:dyDescent="0.25">
      <c r="B250" s="186" t="s">
        <v>45</v>
      </c>
      <c r="C250" s="5"/>
      <c r="D250" s="5"/>
      <c r="E250" s="5"/>
      <c r="F250" s="172"/>
      <c r="H250" s="239"/>
      <c r="I250" s="239"/>
      <c r="J250" s="239"/>
      <c r="K250" s="239"/>
      <c r="L250" s="239"/>
      <c r="M250" s="239"/>
      <c r="N250" s="239"/>
      <c r="O250" s="239"/>
      <c r="P250" s="239"/>
      <c r="Q250" s="250"/>
      <c r="R250" s="256"/>
      <c r="S250" s="222">
        <f t="shared" si="14"/>
        <v>0</v>
      </c>
      <c r="T250" s="228">
        <f t="shared" si="15"/>
        <v>0</v>
      </c>
      <c r="U250" s="222"/>
      <c r="V250" s="222"/>
      <c r="W250" s="228"/>
      <c r="X250" s="228"/>
    </row>
    <row r="251" spans="1:25" x14ac:dyDescent="0.25">
      <c r="B251" s="141" t="s">
        <v>46</v>
      </c>
      <c r="C251" s="309" t="s">
        <v>432</v>
      </c>
      <c r="D251" s="308"/>
      <c r="E251" s="307"/>
      <c r="F251" s="276"/>
      <c r="H251" s="239"/>
      <c r="I251" s="239"/>
      <c r="J251" s="239"/>
      <c r="K251" s="239"/>
      <c r="L251" s="239"/>
      <c r="M251" s="239"/>
      <c r="N251" s="239"/>
      <c r="O251" s="239"/>
      <c r="P251" s="239"/>
      <c r="Q251" s="250"/>
      <c r="R251" s="261"/>
      <c r="S251" s="222">
        <f t="shared" si="14"/>
        <v>0</v>
      </c>
      <c r="T251" s="228">
        <f t="shared" si="15"/>
        <v>0</v>
      </c>
      <c r="U251" s="222">
        <f t="shared" si="16"/>
        <v>0</v>
      </c>
      <c r="V251" s="222">
        <f t="shared" si="17"/>
        <v>0</v>
      </c>
      <c r="W251" s="228">
        <f t="shared" si="18"/>
        <v>0</v>
      </c>
      <c r="X251" s="228"/>
    </row>
    <row r="252" spans="1:25" x14ac:dyDescent="0.25">
      <c r="B252" s="153"/>
      <c r="C252" s="306"/>
      <c r="D252" s="305"/>
      <c r="E252" s="304"/>
      <c r="F252" s="276"/>
      <c r="H252" s="239"/>
      <c r="I252" s="239"/>
      <c r="J252" s="239"/>
      <c r="K252" s="239"/>
      <c r="L252" s="239"/>
      <c r="M252" s="239"/>
      <c r="N252" s="239"/>
      <c r="O252" s="239"/>
      <c r="P252" s="239"/>
      <c r="Q252" s="250"/>
      <c r="R252" s="256"/>
      <c r="S252" s="222"/>
      <c r="T252" s="228"/>
      <c r="U252" s="222"/>
      <c r="V252" s="222"/>
      <c r="W252" s="228"/>
      <c r="X252" s="228"/>
    </row>
    <row r="253" spans="1:25" x14ac:dyDescent="0.25">
      <c r="A253" s="181"/>
      <c r="B253" s="181" t="s">
        <v>62</v>
      </c>
      <c r="C253" s="303"/>
      <c r="D253" s="302"/>
      <c r="E253" s="301"/>
      <c r="F253" s="402">
        <f>SUM(F241+F242+F243+F245+F246+F247+F249+F251)</f>
        <v>40399500</v>
      </c>
      <c r="G253" s="300">
        <f>SUM(G241+G242+G243+G245+G246+G247+G249+G251)</f>
        <v>26933</v>
      </c>
      <c r="H253" s="299"/>
      <c r="I253" s="299"/>
      <c r="J253" s="299"/>
      <c r="K253" s="299"/>
      <c r="L253" s="299"/>
      <c r="M253" s="299"/>
      <c r="N253" s="299"/>
      <c r="O253" s="299"/>
      <c r="P253" s="299"/>
      <c r="Q253" s="298"/>
      <c r="R253" s="297"/>
      <c r="S253" s="296">
        <f t="shared" si="14"/>
        <v>-40399500</v>
      </c>
      <c r="T253" s="295">
        <f t="shared" si="15"/>
        <v>-1</v>
      </c>
      <c r="U253" s="296">
        <f t="shared" si="16"/>
        <v>0</v>
      </c>
      <c r="V253" s="296">
        <f t="shared" si="17"/>
        <v>-26933</v>
      </c>
      <c r="W253" s="295">
        <f t="shared" si="18"/>
        <v>-1</v>
      </c>
      <c r="X253" s="295"/>
    </row>
    <row r="254" spans="1:25" x14ac:dyDescent="0.25">
      <c r="A254" s="150"/>
      <c r="B254" s="150"/>
      <c r="C254" s="294"/>
      <c r="D254" s="293"/>
      <c r="E254" s="292"/>
      <c r="F254" s="291">
        <f>(F253/F256)</f>
        <v>6.6599955984137801E-2</v>
      </c>
      <c r="G254" s="291">
        <f>(G253/G256)</f>
        <v>6.6599955435176286E-2</v>
      </c>
      <c r="H254" s="290"/>
      <c r="I254" s="289"/>
      <c r="J254" s="289"/>
      <c r="K254" s="289"/>
      <c r="L254" s="289"/>
      <c r="M254" s="289"/>
      <c r="N254" s="289"/>
      <c r="O254" s="289"/>
      <c r="P254" s="289"/>
      <c r="Q254" s="289"/>
      <c r="R254" s="288"/>
      <c r="S254" s="288"/>
      <c r="T254" s="288"/>
      <c r="U254" s="288"/>
      <c r="V254" s="288"/>
      <c r="W254" s="187" t="s">
        <v>186</v>
      </c>
      <c r="X254" s="187"/>
      <c r="Y254" s="39"/>
    </row>
    <row r="255" spans="1:25" x14ac:dyDescent="0.25">
      <c r="F255" s="276"/>
      <c r="H255" s="239"/>
      <c r="I255" s="239"/>
      <c r="J255" s="239"/>
      <c r="K255" s="239"/>
      <c r="L255" s="239"/>
      <c r="M255" s="239"/>
      <c r="N255" s="239"/>
      <c r="O255" s="239"/>
      <c r="P255" s="239"/>
      <c r="Q255" s="239"/>
      <c r="R255" s="1"/>
      <c r="S255" s="1"/>
      <c r="T255" s="1"/>
      <c r="U255" s="1"/>
      <c r="V255" s="1"/>
    </row>
    <row r="256" spans="1:25" ht="13.8" thickBot="1" x14ac:dyDescent="0.3">
      <c r="B256" s="74" t="s">
        <v>27</v>
      </c>
      <c r="F256" s="287">
        <f>F253+F237</f>
        <v>606599500</v>
      </c>
      <c r="G256" s="287">
        <f>G253+G237</f>
        <v>404399.67000000004</v>
      </c>
      <c r="H256" s="286"/>
      <c r="I256" s="286"/>
      <c r="J256" s="286"/>
      <c r="K256" s="286"/>
      <c r="L256" s="286"/>
      <c r="M256" s="286"/>
      <c r="N256" s="286"/>
      <c r="O256" s="286"/>
      <c r="P256" s="286"/>
      <c r="Q256" s="286"/>
      <c r="R256" s="285"/>
      <c r="S256" s="285"/>
      <c r="T256" s="285"/>
      <c r="U256" s="285"/>
      <c r="V256" s="285"/>
    </row>
    <row r="257" spans="1:22" ht="13.8" thickTop="1" x14ac:dyDescent="0.25">
      <c r="F257" s="276"/>
      <c r="G257" s="283"/>
      <c r="H257" s="284"/>
      <c r="I257" s="284"/>
      <c r="J257" s="284"/>
      <c r="K257" s="284"/>
      <c r="L257" s="284"/>
      <c r="M257" s="284"/>
      <c r="N257" s="284"/>
      <c r="O257" s="284"/>
      <c r="P257" s="284"/>
      <c r="Q257" s="284"/>
      <c r="R257" s="283"/>
      <c r="S257" s="283"/>
      <c r="T257" s="283"/>
      <c r="U257" s="283"/>
      <c r="V257" s="283"/>
    </row>
    <row r="258" spans="1:22" x14ac:dyDescent="0.25">
      <c r="A258" s="74" t="s">
        <v>36</v>
      </c>
      <c r="B258" s="39"/>
      <c r="F258" s="1">
        <f>F256*0.03</f>
        <v>18197985</v>
      </c>
      <c r="G258" s="403">
        <f>G256*0.03</f>
        <v>12131.990100000001</v>
      </c>
      <c r="H258" s="239"/>
      <c r="I258" s="239"/>
      <c r="J258" s="239"/>
      <c r="K258" s="239"/>
      <c r="L258" s="239"/>
      <c r="M258" s="239"/>
      <c r="N258" s="239"/>
      <c r="O258" s="239"/>
      <c r="P258" s="239"/>
      <c r="Q258" s="239"/>
      <c r="R258" s="1"/>
      <c r="S258" s="1"/>
      <c r="T258" s="1"/>
      <c r="U258" s="1"/>
      <c r="V258" s="1"/>
    </row>
    <row r="259" spans="1:22" x14ac:dyDescent="0.25">
      <c r="F259" s="276"/>
      <c r="H259" s="239"/>
      <c r="I259" s="239"/>
      <c r="J259" s="239"/>
      <c r="K259" s="239"/>
      <c r="L259" s="239"/>
      <c r="M259" s="239"/>
      <c r="N259" s="239"/>
      <c r="O259" s="239"/>
      <c r="P259" s="239"/>
      <c r="Q259" s="239"/>
      <c r="R259" s="1"/>
      <c r="S259" s="1"/>
      <c r="T259" s="1"/>
      <c r="U259" s="1"/>
      <c r="V259" s="1"/>
    </row>
    <row r="260" spans="1:22" ht="13.8" thickBot="1" x14ac:dyDescent="0.3">
      <c r="A260" s="117"/>
      <c r="B260" s="117" t="s">
        <v>28</v>
      </c>
      <c r="C260" s="282"/>
      <c r="D260" s="281"/>
      <c r="E260" s="280"/>
      <c r="F260" s="279">
        <f>F258+F256</f>
        <v>624797485</v>
      </c>
      <c r="G260" s="279">
        <f>G258+G256</f>
        <v>416531.66010000004</v>
      </c>
      <c r="H260" s="278"/>
      <c r="I260" s="278"/>
      <c r="J260" s="278"/>
      <c r="K260" s="278"/>
      <c r="L260" s="278"/>
      <c r="M260" s="278"/>
      <c r="N260" s="278"/>
      <c r="O260" s="278"/>
      <c r="P260" s="278"/>
      <c r="Q260" s="278"/>
      <c r="R260" s="277"/>
      <c r="S260" s="277"/>
      <c r="T260" s="277"/>
      <c r="U260" s="277"/>
      <c r="V260" s="277"/>
    </row>
    <row r="261" spans="1:22" hidden="1" x14ac:dyDescent="0.25">
      <c r="F261" s="276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"/>
      <c r="S261" s="1"/>
      <c r="T261" s="1"/>
      <c r="U261" s="1"/>
      <c r="V261" s="1"/>
    </row>
    <row r="262" spans="1:22" ht="13.8" hidden="1" thickBot="1" x14ac:dyDescent="0.3">
      <c r="A262" s="191" t="s">
        <v>24</v>
      </c>
      <c r="B262" s="192"/>
      <c r="C262" s="275"/>
      <c r="D262" s="274"/>
      <c r="E262" s="273"/>
      <c r="F262" s="272">
        <f>SUM(F260-F77)</f>
        <v>624797485</v>
      </c>
      <c r="G262" s="272">
        <f>SUM(G260-G77)</f>
        <v>416531.66010000004</v>
      </c>
      <c r="H262" s="271"/>
      <c r="I262" s="271"/>
      <c r="J262" s="271"/>
      <c r="K262" s="271"/>
      <c r="L262" s="271"/>
      <c r="M262" s="271"/>
      <c r="N262" s="271"/>
      <c r="O262" s="271"/>
      <c r="P262" s="271"/>
      <c r="Q262" s="271"/>
      <c r="R262" s="270"/>
      <c r="S262" s="270"/>
      <c r="T262" s="270"/>
      <c r="U262" s="270"/>
      <c r="V262" s="270"/>
    </row>
    <row r="263" spans="1:22" hidden="1" x14ac:dyDescent="0.25">
      <c r="F263" s="268"/>
    </row>
    <row r="264" spans="1:22" x14ac:dyDescent="0.25">
      <c r="F264" s="268"/>
    </row>
    <row r="265" spans="1:22" x14ac:dyDescent="0.25">
      <c r="A265" s="74" t="s">
        <v>15</v>
      </c>
      <c r="F265" s="268"/>
    </row>
    <row r="266" spans="1:22" x14ac:dyDescent="0.25">
      <c r="F266" s="268"/>
    </row>
    <row r="267" spans="1:22" ht="15" x14ac:dyDescent="0.4">
      <c r="B267" s="197" t="s">
        <v>16</v>
      </c>
      <c r="D267" s="269" t="s">
        <v>26</v>
      </c>
      <c r="F267" s="861" t="s">
        <v>17</v>
      </c>
      <c r="G267" s="851"/>
      <c r="H267" s="199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  <c r="S267" s="199"/>
      <c r="T267" s="199"/>
      <c r="U267" s="199"/>
      <c r="V267" s="199"/>
    </row>
    <row r="268" spans="1:22" ht="15" x14ac:dyDescent="0.4">
      <c r="D268" s="269"/>
      <c r="F268" s="268"/>
    </row>
    <row r="269" spans="1:22" x14ac:dyDescent="0.25">
      <c r="F269" s="268"/>
    </row>
    <row r="270" spans="1:22" x14ac:dyDescent="0.25">
      <c r="F270" s="268"/>
    </row>
    <row r="271" spans="1:22" x14ac:dyDescent="0.25">
      <c r="F271" s="268"/>
    </row>
    <row r="272" spans="1:22" x14ac:dyDescent="0.25">
      <c r="F272" s="268"/>
    </row>
    <row r="273" spans="6:6" x14ac:dyDescent="0.25">
      <c r="F273" s="268"/>
    </row>
    <row r="274" spans="6:6" x14ac:dyDescent="0.25">
      <c r="F274" s="268"/>
    </row>
    <row r="275" spans="6:6" x14ac:dyDescent="0.25">
      <c r="F275" s="268"/>
    </row>
    <row r="276" spans="6:6" x14ac:dyDescent="0.25">
      <c r="F276" s="268"/>
    </row>
    <row r="277" spans="6:6" x14ac:dyDescent="0.25">
      <c r="F277" s="268"/>
    </row>
    <row r="278" spans="6:6" x14ac:dyDescent="0.25">
      <c r="F278" s="268"/>
    </row>
    <row r="279" spans="6:6" x14ac:dyDescent="0.25">
      <c r="F279" s="268"/>
    </row>
    <row r="280" spans="6:6" x14ac:dyDescent="0.25">
      <c r="F280" s="268"/>
    </row>
    <row r="281" spans="6:6" x14ac:dyDescent="0.25">
      <c r="F281" s="268"/>
    </row>
    <row r="282" spans="6:6" x14ac:dyDescent="0.25">
      <c r="F282" s="268"/>
    </row>
    <row r="283" spans="6:6" x14ac:dyDescent="0.25">
      <c r="F283" s="268"/>
    </row>
    <row r="284" spans="6:6" x14ac:dyDescent="0.25">
      <c r="F284" s="268"/>
    </row>
    <row r="285" spans="6:6" x14ac:dyDescent="0.25">
      <c r="F285" s="268"/>
    </row>
    <row r="286" spans="6:6" x14ac:dyDescent="0.25">
      <c r="F286" s="268"/>
    </row>
    <row r="287" spans="6:6" x14ac:dyDescent="0.25">
      <c r="F287" s="268"/>
    </row>
    <row r="288" spans="6:6" x14ac:dyDescent="0.25">
      <c r="F288" s="268"/>
    </row>
    <row r="289" spans="6:6" x14ac:dyDescent="0.25">
      <c r="F289" s="268"/>
    </row>
    <row r="290" spans="6:6" x14ac:dyDescent="0.25">
      <c r="F290" s="268"/>
    </row>
    <row r="291" spans="6:6" x14ac:dyDescent="0.25">
      <c r="F291" s="268"/>
    </row>
    <row r="292" spans="6:6" x14ac:dyDescent="0.25">
      <c r="F292" s="268"/>
    </row>
    <row r="293" spans="6:6" x14ac:dyDescent="0.25">
      <c r="F293" s="268"/>
    </row>
    <row r="294" spans="6:6" x14ac:dyDescent="0.25">
      <c r="F294" s="268"/>
    </row>
    <row r="295" spans="6:6" x14ac:dyDescent="0.25">
      <c r="F295" s="268"/>
    </row>
    <row r="296" spans="6:6" x14ac:dyDescent="0.25">
      <c r="F296" s="268"/>
    </row>
    <row r="297" spans="6:6" x14ac:dyDescent="0.25">
      <c r="F297" s="268"/>
    </row>
    <row r="298" spans="6:6" x14ac:dyDescent="0.25">
      <c r="F298" s="268"/>
    </row>
    <row r="299" spans="6:6" x14ac:dyDescent="0.25">
      <c r="F299" s="268"/>
    </row>
    <row r="300" spans="6:6" x14ac:dyDescent="0.25">
      <c r="F300" s="268"/>
    </row>
    <row r="301" spans="6:6" x14ac:dyDescent="0.25">
      <c r="F301" s="268"/>
    </row>
    <row r="302" spans="6:6" x14ac:dyDescent="0.25">
      <c r="F302" s="268"/>
    </row>
    <row r="303" spans="6:6" x14ac:dyDescent="0.25">
      <c r="F303" s="268"/>
    </row>
    <row r="304" spans="6:6" x14ac:dyDescent="0.25">
      <c r="F304" s="268"/>
    </row>
    <row r="305" spans="6:6" x14ac:dyDescent="0.25">
      <c r="F305" s="268"/>
    </row>
    <row r="306" spans="6:6" x14ac:dyDescent="0.25">
      <c r="F306" s="268"/>
    </row>
    <row r="307" spans="6:6" x14ac:dyDescent="0.25">
      <c r="F307" s="268"/>
    </row>
    <row r="308" spans="6:6" x14ac:dyDescent="0.25">
      <c r="F308" s="268"/>
    </row>
    <row r="309" spans="6:6" x14ac:dyDescent="0.25">
      <c r="F309" s="268"/>
    </row>
    <row r="310" spans="6:6" x14ac:dyDescent="0.25">
      <c r="F310" s="268"/>
    </row>
    <row r="311" spans="6:6" x14ac:dyDescent="0.25">
      <c r="F311" s="268"/>
    </row>
    <row r="312" spans="6:6" x14ac:dyDescent="0.25">
      <c r="F312" s="268"/>
    </row>
    <row r="313" spans="6:6" x14ac:dyDescent="0.25">
      <c r="F313" s="268"/>
    </row>
    <row r="314" spans="6:6" x14ac:dyDescent="0.25">
      <c r="F314" s="268"/>
    </row>
    <row r="315" spans="6:6" x14ac:dyDescent="0.25">
      <c r="F315" s="268"/>
    </row>
    <row r="316" spans="6:6" x14ac:dyDescent="0.25">
      <c r="F316" s="268"/>
    </row>
    <row r="317" spans="6:6" x14ac:dyDescent="0.25">
      <c r="F317" s="268"/>
    </row>
    <row r="318" spans="6:6" x14ac:dyDescent="0.25">
      <c r="F318" s="268"/>
    </row>
    <row r="319" spans="6:6" x14ac:dyDescent="0.25">
      <c r="F319" s="268"/>
    </row>
    <row r="320" spans="6:6" x14ac:dyDescent="0.25">
      <c r="F320" s="268"/>
    </row>
    <row r="321" spans="6:6" x14ac:dyDescent="0.25">
      <c r="F321" s="268"/>
    </row>
    <row r="322" spans="6:6" x14ac:dyDescent="0.25">
      <c r="F322" s="268"/>
    </row>
    <row r="323" spans="6:6" x14ac:dyDescent="0.25">
      <c r="F323" s="268"/>
    </row>
    <row r="324" spans="6:6" x14ac:dyDescent="0.25">
      <c r="F324" s="268"/>
    </row>
    <row r="325" spans="6:6" x14ac:dyDescent="0.25">
      <c r="F325" s="268"/>
    </row>
    <row r="326" spans="6:6" x14ac:dyDescent="0.25">
      <c r="F326" s="268"/>
    </row>
    <row r="327" spans="6:6" x14ac:dyDescent="0.25">
      <c r="F327" s="268"/>
    </row>
    <row r="328" spans="6:6" x14ac:dyDescent="0.25">
      <c r="F328" s="268"/>
    </row>
    <row r="329" spans="6:6" x14ac:dyDescent="0.25">
      <c r="F329" s="268"/>
    </row>
    <row r="330" spans="6:6" x14ac:dyDescent="0.25">
      <c r="F330" s="268"/>
    </row>
    <row r="331" spans="6:6" x14ac:dyDescent="0.25">
      <c r="F331" s="268"/>
    </row>
    <row r="332" spans="6:6" x14ac:dyDescent="0.25">
      <c r="F332" s="268"/>
    </row>
    <row r="333" spans="6:6" x14ac:dyDescent="0.25">
      <c r="F333" s="268"/>
    </row>
    <row r="334" spans="6:6" x14ac:dyDescent="0.25">
      <c r="F334" s="268"/>
    </row>
    <row r="335" spans="6:6" x14ac:dyDescent="0.25">
      <c r="F335" s="268"/>
    </row>
    <row r="336" spans="6:6" x14ac:dyDescent="0.25">
      <c r="F336" s="268"/>
    </row>
    <row r="337" spans="6:6" x14ac:dyDescent="0.25">
      <c r="F337" s="268"/>
    </row>
    <row r="338" spans="6:6" x14ac:dyDescent="0.25">
      <c r="F338" s="268"/>
    </row>
    <row r="339" spans="6:6" x14ac:dyDescent="0.25">
      <c r="F339" s="268"/>
    </row>
    <row r="340" spans="6:6" x14ac:dyDescent="0.25">
      <c r="F340" s="268"/>
    </row>
    <row r="341" spans="6:6" x14ac:dyDescent="0.25">
      <c r="F341" s="268"/>
    </row>
    <row r="342" spans="6:6" x14ac:dyDescent="0.25">
      <c r="F342" s="268"/>
    </row>
    <row r="343" spans="6:6" x14ac:dyDescent="0.25">
      <c r="F343" s="268"/>
    </row>
    <row r="344" spans="6:6" x14ac:dyDescent="0.25">
      <c r="F344" s="268"/>
    </row>
    <row r="345" spans="6:6" x14ac:dyDescent="0.25">
      <c r="F345" s="268"/>
    </row>
    <row r="346" spans="6:6" x14ac:dyDescent="0.25">
      <c r="F346" s="268"/>
    </row>
    <row r="347" spans="6:6" x14ac:dyDescent="0.25">
      <c r="F347" s="268"/>
    </row>
    <row r="348" spans="6:6" x14ac:dyDescent="0.25">
      <c r="F348" s="268"/>
    </row>
    <row r="349" spans="6:6" x14ac:dyDescent="0.25">
      <c r="F349" s="268"/>
    </row>
    <row r="350" spans="6:6" x14ac:dyDescent="0.25">
      <c r="F350" s="268"/>
    </row>
    <row r="351" spans="6:6" x14ac:dyDescent="0.25">
      <c r="F351" s="268"/>
    </row>
    <row r="352" spans="6:6" x14ac:dyDescent="0.25">
      <c r="F352" s="268"/>
    </row>
    <row r="353" spans="6:6" x14ac:dyDescent="0.25">
      <c r="F353" s="268"/>
    </row>
    <row r="354" spans="6:6" x14ac:dyDescent="0.25">
      <c r="F354" s="268"/>
    </row>
    <row r="355" spans="6:6" x14ac:dyDescent="0.25">
      <c r="F355" s="268"/>
    </row>
    <row r="356" spans="6:6" x14ac:dyDescent="0.25">
      <c r="F356" s="268"/>
    </row>
    <row r="357" spans="6:6" x14ac:dyDescent="0.25">
      <c r="F357" s="268"/>
    </row>
    <row r="358" spans="6:6" x14ac:dyDescent="0.25">
      <c r="F358" s="268"/>
    </row>
    <row r="359" spans="6:6" x14ac:dyDescent="0.25">
      <c r="F359" s="268"/>
    </row>
    <row r="360" spans="6:6" x14ac:dyDescent="0.25">
      <c r="F360" s="268"/>
    </row>
    <row r="361" spans="6:6" x14ac:dyDescent="0.25">
      <c r="F361" s="268"/>
    </row>
    <row r="362" spans="6:6" x14ac:dyDescent="0.25">
      <c r="F362" s="268"/>
    </row>
    <row r="363" spans="6:6" x14ac:dyDescent="0.25">
      <c r="F363" s="268"/>
    </row>
    <row r="364" spans="6:6" x14ac:dyDescent="0.25">
      <c r="F364" s="268"/>
    </row>
    <row r="365" spans="6:6" x14ac:dyDescent="0.25">
      <c r="F365" s="268"/>
    </row>
    <row r="366" spans="6:6" x14ac:dyDescent="0.25">
      <c r="F366" s="268"/>
    </row>
    <row r="367" spans="6:6" x14ac:dyDescent="0.25">
      <c r="F367" s="268"/>
    </row>
    <row r="368" spans="6:6" x14ac:dyDescent="0.25">
      <c r="F368" s="268"/>
    </row>
    <row r="369" spans="6:6" x14ac:dyDescent="0.25">
      <c r="F369" s="268"/>
    </row>
    <row r="370" spans="6:6" x14ac:dyDescent="0.25">
      <c r="F370" s="268"/>
    </row>
    <row r="371" spans="6:6" x14ac:dyDescent="0.25">
      <c r="F371" s="268"/>
    </row>
    <row r="372" spans="6:6" x14ac:dyDescent="0.25">
      <c r="F372" s="268"/>
    </row>
    <row r="373" spans="6:6" x14ac:dyDescent="0.25">
      <c r="F373" s="268"/>
    </row>
    <row r="374" spans="6:6" x14ac:dyDescent="0.25">
      <c r="F374" s="268"/>
    </row>
    <row r="375" spans="6:6" x14ac:dyDescent="0.25">
      <c r="F375" s="268"/>
    </row>
    <row r="376" spans="6:6" x14ac:dyDescent="0.25">
      <c r="F376" s="268"/>
    </row>
    <row r="377" spans="6:6" x14ac:dyDescent="0.25">
      <c r="F377" s="268"/>
    </row>
    <row r="378" spans="6:6" x14ac:dyDescent="0.25">
      <c r="F378" s="268"/>
    </row>
    <row r="379" spans="6:6" x14ac:dyDescent="0.25">
      <c r="F379" s="268"/>
    </row>
    <row r="380" spans="6:6" x14ac:dyDescent="0.25">
      <c r="F380" s="268"/>
    </row>
    <row r="381" spans="6:6" x14ac:dyDescent="0.25">
      <c r="F381" s="268"/>
    </row>
    <row r="382" spans="6:6" x14ac:dyDescent="0.25">
      <c r="F382" s="268"/>
    </row>
    <row r="383" spans="6:6" x14ac:dyDescent="0.25">
      <c r="F383" s="268"/>
    </row>
    <row r="384" spans="6:6" x14ac:dyDescent="0.25">
      <c r="F384" s="268"/>
    </row>
    <row r="385" spans="6:6" x14ac:dyDescent="0.25">
      <c r="F385" s="268"/>
    </row>
    <row r="386" spans="6:6" x14ac:dyDescent="0.25">
      <c r="F386" s="268"/>
    </row>
    <row r="387" spans="6:6" x14ac:dyDescent="0.25">
      <c r="F387" s="268"/>
    </row>
    <row r="388" spans="6:6" x14ac:dyDescent="0.25">
      <c r="F388" s="268"/>
    </row>
    <row r="389" spans="6:6" x14ac:dyDescent="0.25">
      <c r="F389" s="268"/>
    </row>
    <row r="390" spans="6:6" x14ac:dyDescent="0.25">
      <c r="F390" s="268"/>
    </row>
    <row r="391" spans="6:6" x14ac:dyDescent="0.25">
      <c r="F391" s="268"/>
    </row>
    <row r="392" spans="6:6" x14ac:dyDescent="0.25">
      <c r="F392" s="268"/>
    </row>
    <row r="393" spans="6:6" x14ac:dyDescent="0.25">
      <c r="F393" s="268"/>
    </row>
    <row r="394" spans="6:6" x14ac:dyDescent="0.25">
      <c r="F394" s="268"/>
    </row>
    <row r="395" spans="6:6" x14ac:dyDescent="0.25">
      <c r="F395" s="268"/>
    </row>
    <row r="396" spans="6:6" x14ac:dyDescent="0.25">
      <c r="F396" s="268"/>
    </row>
    <row r="397" spans="6:6" x14ac:dyDescent="0.25">
      <c r="F397" s="268"/>
    </row>
    <row r="398" spans="6:6" x14ac:dyDescent="0.25">
      <c r="F398" s="268"/>
    </row>
    <row r="399" spans="6:6" x14ac:dyDescent="0.25">
      <c r="F399" s="268"/>
    </row>
    <row r="400" spans="6:6" x14ac:dyDescent="0.25">
      <c r="F400" s="268"/>
    </row>
    <row r="401" spans="6:6" x14ac:dyDescent="0.25">
      <c r="F401" s="268"/>
    </row>
    <row r="402" spans="6:6" x14ac:dyDescent="0.25">
      <c r="F402" s="268"/>
    </row>
    <row r="403" spans="6:6" x14ac:dyDescent="0.25">
      <c r="F403" s="268"/>
    </row>
    <row r="404" spans="6:6" x14ac:dyDescent="0.25">
      <c r="F404" s="268"/>
    </row>
    <row r="405" spans="6:6" x14ac:dyDescent="0.25">
      <c r="F405" s="268"/>
    </row>
    <row r="406" spans="6:6" x14ac:dyDescent="0.25">
      <c r="F406" s="268"/>
    </row>
    <row r="407" spans="6:6" x14ac:dyDescent="0.25">
      <c r="F407" s="268"/>
    </row>
    <row r="408" spans="6:6" x14ac:dyDescent="0.25">
      <c r="F408" s="268"/>
    </row>
    <row r="409" spans="6:6" x14ac:dyDescent="0.25">
      <c r="F409" s="268"/>
    </row>
    <row r="410" spans="6:6" x14ac:dyDescent="0.25">
      <c r="F410" s="268"/>
    </row>
    <row r="411" spans="6:6" x14ac:dyDescent="0.25">
      <c r="F411" s="268"/>
    </row>
    <row r="412" spans="6:6" x14ac:dyDescent="0.25">
      <c r="F412" s="268"/>
    </row>
    <row r="413" spans="6:6" x14ac:dyDescent="0.25">
      <c r="F413" s="268"/>
    </row>
    <row r="414" spans="6:6" x14ac:dyDescent="0.25">
      <c r="F414" s="268"/>
    </row>
    <row r="415" spans="6:6" x14ac:dyDescent="0.25">
      <c r="F415" s="268"/>
    </row>
    <row r="416" spans="6:6" x14ac:dyDescent="0.25">
      <c r="F416" s="268"/>
    </row>
    <row r="417" spans="6:6" x14ac:dyDescent="0.25">
      <c r="F417" s="268"/>
    </row>
    <row r="418" spans="6:6" x14ac:dyDescent="0.25">
      <c r="F418" s="268"/>
    </row>
    <row r="419" spans="6:6" x14ac:dyDescent="0.25">
      <c r="F419" s="268"/>
    </row>
    <row r="420" spans="6:6" x14ac:dyDescent="0.25">
      <c r="F420" s="268"/>
    </row>
    <row r="421" spans="6:6" x14ac:dyDescent="0.25">
      <c r="F421" s="268"/>
    </row>
    <row r="422" spans="6:6" x14ac:dyDescent="0.25">
      <c r="F422" s="268"/>
    </row>
    <row r="423" spans="6:6" x14ac:dyDescent="0.25">
      <c r="F423" s="268"/>
    </row>
    <row r="424" spans="6:6" x14ac:dyDescent="0.25">
      <c r="F424" s="268"/>
    </row>
    <row r="425" spans="6:6" x14ac:dyDescent="0.25">
      <c r="F425" s="268"/>
    </row>
    <row r="426" spans="6:6" x14ac:dyDescent="0.25">
      <c r="F426" s="268"/>
    </row>
    <row r="427" spans="6:6" x14ac:dyDescent="0.25">
      <c r="F427" s="268"/>
    </row>
    <row r="428" spans="6:6" x14ac:dyDescent="0.25">
      <c r="F428" s="268"/>
    </row>
    <row r="429" spans="6:6" x14ac:dyDescent="0.25">
      <c r="F429" s="268"/>
    </row>
    <row r="430" spans="6:6" x14ac:dyDescent="0.25">
      <c r="F430" s="268"/>
    </row>
    <row r="431" spans="6:6" x14ac:dyDescent="0.25">
      <c r="F431" s="268"/>
    </row>
    <row r="432" spans="6:6" x14ac:dyDescent="0.25">
      <c r="F432" s="268"/>
    </row>
    <row r="433" spans="6:6" x14ac:dyDescent="0.25">
      <c r="F433" s="268"/>
    </row>
    <row r="434" spans="6:6" x14ac:dyDescent="0.25">
      <c r="F434" s="268"/>
    </row>
    <row r="435" spans="6:6" x14ac:dyDescent="0.25">
      <c r="F435" s="268"/>
    </row>
    <row r="436" spans="6:6" x14ac:dyDescent="0.25">
      <c r="F436" s="268"/>
    </row>
    <row r="437" spans="6:6" x14ac:dyDescent="0.25">
      <c r="F437" s="268"/>
    </row>
    <row r="438" spans="6:6" x14ac:dyDescent="0.25">
      <c r="F438" s="268"/>
    </row>
    <row r="439" spans="6:6" x14ac:dyDescent="0.25">
      <c r="F439" s="268"/>
    </row>
    <row r="440" spans="6:6" x14ac:dyDescent="0.25">
      <c r="F440" s="268"/>
    </row>
    <row r="441" spans="6:6" x14ac:dyDescent="0.25">
      <c r="F441" s="268"/>
    </row>
    <row r="442" spans="6:6" x14ac:dyDescent="0.25">
      <c r="F442" s="268"/>
    </row>
    <row r="443" spans="6:6" x14ac:dyDescent="0.25">
      <c r="F443" s="268"/>
    </row>
    <row r="444" spans="6:6" x14ac:dyDescent="0.25">
      <c r="F444" s="268"/>
    </row>
    <row r="445" spans="6:6" x14ac:dyDescent="0.25">
      <c r="F445" s="268"/>
    </row>
    <row r="446" spans="6:6" x14ac:dyDescent="0.25">
      <c r="F446" s="268"/>
    </row>
    <row r="447" spans="6:6" x14ac:dyDescent="0.25">
      <c r="F447" s="268"/>
    </row>
    <row r="448" spans="6:6" x14ac:dyDescent="0.25">
      <c r="F448" s="268"/>
    </row>
    <row r="449" spans="6:6" x14ac:dyDescent="0.25">
      <c r="F449" s="268"/>
    </row>
    <row r="450" spans="6:6" x14ac:dyDescent="0.25">
      <c r="F450" s="268"/>
    </row>
    <row r="451" spans="6:6" x14ac:dyDescent="0.25">
      <c r="F451" s="268"/>
    </row>
    <row r="452" spans="6:6" x14ac:dyDescent="0.25">
      <c r="F452" s="268"/>
    </row>
    <row r="453" spans="6:6" x14ac:dyDescent="0.25">
      <c r="F453" s="268"/>
    </row>
    <row r="454" spans="6:6" x14ac:dyDescent="0.25">
      <c r="F454" s="268"/>
    </row>
    <row r="455" spans="6:6" x14ac:dyDescent="0.25">
      <c r="F455" s="268"/>
    </row>
    <row r="456" spans="6:6" x14ac:dyDescent="0.25">
      <c r="F456" s="268"/>
    </row>
    <row r="457" spans="6:6" x14ac:dyDescent="0.25">
      <c r="F457" s="268"/>
    </row>
    <row r="458" spans="6:6" x14ac:dyDescent="0.25">
      <c r="F458" s="268"/>
    </row>
    <row r="459" spans="6:6" x14ac:dyDescent="0.25">
      <c r="F459" s="268"/>
    </row>
    <row r="460" spans="6:6" x14ac:dyDescent="0.25">
      <c r="F460" s="268"/>
    </row>
    <row r="461" spans="6:6" x14ac:dyDescent="0.25">
      <c r="F461" s="268"/>
    </row>
    <row r="462" spans="6:6" x14ac:dyDescent="0.25">
      <c r="F462" s="268"/>
    </row>
    <row r="463" spans="6:6" x14ac:dyDescent="0.25">
      <c r="F463" s="268"/>
    </row>
    <row r="464" spans="6:6" x14ac:dyDescent="0.25">
      <c r="F464" s="268"/>
    </row>
    <row r="465" spans="6:6" x14ac:dyDescent="0.25">
      <c r="F465" s="268"/>
    </row>
    <row r="466" spans="6:6" x14ac:dyDescent="0.25">
      <c r="F466" s="268"/>
    </row>
    <row r="467" spans="6:6" x14ac:dyDescent="0.25">
      <c r="F467" s="268"/>
    </row>
    <row r="468" spans="6:6" x14ac:dyDescent="0.25">
      <c r="F468" s="268"/>
    </row>
    <row r="469" spans="6:6" x14ac:dyDescent="0.25">
      <c r="F469" s="268"/>
    </row>
    <row r="470" spans="6:6" x14ac:dyDescent="0.25">
      <c r="F470" s="268"/>
    </row>
    <row r="471" spans="6:6" x14ac:dyDescent="0.25">
      <c r="F471" s="268"/>
    </row>
    <row r="472" spans="6:6" x14ac:dyDescent="0.25">
      <c r="F472" s="268"/>
    </row>
    <row r="473" spans="6:6" x14ac:dyDescent="0.25">
      <c r="F473" s="268"/>
    </row>
    <row r="474" spans="6:6" x14ac:dyDescent="0.25">
      <c r="F474" s="268"/>
    </row>
    <row r="475" spans="6:6" x14ac:dyDescent="0.25">
      <c r="F475" s="268"/>
    </row>
    <row r="476" spans="6:6" x14ac:dyDescent="0.25">
      <c r="F476" s="268"/>
    </row>
    <row r="477" spans="6:6" x14ac:dyDescent="0.25">
      <c r="F477" s="268"/>
    </row>
    <row r="478" spans="6:6" x14ac:dyDescent="0.25">
      <c r="F478" s="268"/>
    </row>
    <row r="479" spans="6:6" x14ac:dyDescent="0.25">
      <c r="F479" s="268"/>
    </row>
    <row r="480" spans="6:6" x14ac:dyDescent="0.25">
      <c r="F480" s="268"/>
    </row>
    <row r="481" spans="6:6" x14ac:dyDescent="0.25">
      <c r="F481" s="268"/>
    </row>
    <row r="482" spans="6:6" x14ac:dyDescent="0.25">
      <c r="F482" s="268"/>
    </row>
    <row r="483" spans="6:6" x14ac:dyDescent="0.25">
      <c r="F483" s="268"/>
    </row>
    <row r="484" spans="6:6" x14ac:dyDescent="0.25">
      <c r="F484" s="268"/>
    </row>
    <row r="485" spans="6:6" x14ac:dyDescent="0.25">
      <c r="F485" s="268"/>
    </row>
    <row r="486" spans="6:6" x14ac:dyDescent="0.25">
      <c r="F486" s="268"/>
    </row>
    <row r="487" spans="6:6" x14ac:dyDescent="0.25">
      <c r="F487" s="268"/>
    </row>
    <row r="488" spans="6:6" x14ac:dyDescent="0.25">
      <c r="F488" s="268"/>
    </row>
    <row r="489" spans="6:6" x14ac:dyDescent="0.25">
      <c r="F489" s="268"/>
    </row>
    <row r="490" spans="6:6" x14ac:dyDescent="0.25">
      <c r="F490" s="268"/>
    </row>
    <row r="491" spans="6:6" x14ac:dyDescent="0.25">
      <c r="F491" s="268"/>
    </row>
    <row r="492" spans="6:6" x14ac:dyDescent="0.25">
      <c r="F492" s="268"/>
    </row>
    <row r="493" spans="6:6" x14ac:dyDescent="0.25">
      <c r="F493" s="268"/>
    </row>
    <row r="494" spans="6:6" x14ac:dyDescent="0.25">
      <c r="F494" s="268"/>
    </row>
    <row r="495" spans="6:6" x14ac:dyDescent="0.25">
      <c r="F495" s="268"/>
    </row>
    <row r="496" spans="6:6" x14ac:dyDescent="0.25">
      <c r="F496" s="268"/>
    </row>
    <row r="497" spans="6:6" x14ac:dyDescent="0.25">
      <c r="F497" s="268"/>
    </row>
    <row r="498" spans="6:6" x14ac:dyDescent="0.25">
      <c r="F498" s="268"/>
    </row>
    <row r="499" spans="6:6" x14ac:dyDescent="0.25">
      <c r="F499" s="268"/>
    </row>
    <row r="500" spans="6:6" x14ac:dyDescent="0.25">
      <c r="F500" s="268"/>
    </row>
    <row r="501" spans="6:6" x14ac:dyDescent="0.25">
      <c r="F501" s="268"/>
    </row>
    <row r="502" spans="6:6" x14ac:dyDescent="0.25">
      <c r="F502" s="268"/>
    </row>
    <row r="503" spans="6:6" x14ac:dyDescent="0.25">
      <c r="F503" s="268"/>
    </row>
    <row r="504" spans="6:6" x14ac:dyDescent="0.25">
      <c r="F504" s="268"/>
    </row>
    <row r="505" spans="6:6" x14ac:dyDescent="0.25">
      <c r="F505" s="268"/>
    </row>
    <row r="506" spans="6:6" x14ac:dyDescent="0.25">
      <c r="F506" s="268"/>
    </row>
    <row r="507" spans="6:6" x14ac:dyDescent="0.25">
      <c r="F507" s="268"/>
    </row>
    <row r="508" spans="6:6" x14ac:dyDescent="0.25">
      <c r="F508" s="268"/>
    </row>
    <row r="509" spans="6:6" x14ac:dyDescent="0.25">
      <c r="F509" s="268"/>
    </row>
    <row r="510" spans="6:6" x14ac:dyDescent="0.25">
      <c r="F510" s="268"/>
    </row>
    <row r="511" spans="6:6" x14ac:dyDescent="0.25">
      <c r="F511" s="268"/>
    </row>
    <row r="512" spans="6:6" x14ac:dyDescent="0.25">
      <c r="F512" s="268"/>
    </row>
    <row r="513" spans="6:6" x14ac:dyDescent="0.25">
      <c r="F513" s="268"/>
    </row>
    <row r="514" spans="6:6" x14ac:dyDescent="0.25">
      <c r="F514" s="268"/>
    </row>
    <row r="515" spans="6:6" x14ac:dyDescent="0.25">
      <c r="F515" s="268"/>
    </row>
    <row r="516" spans="6:6" x14ac:dyDescent="0.25">
      <c r="F516" s="268"/>
    </row>
    <row r="517" spans="6:6" x14ac:dyDescent="0.25">
      <c r="F517" s="268"/>
    </row>
    <row r="518" spans="6:6" x14ac:dyDescent="0.25">
      <c r="F518" s="268"/>
    </row>
    <row r="519" spans="6:6" x14ac:dyDescent="0.25">
      <c r="F519" s="268"/>
    </row>
    <row r="520" spans="6:6" x14ac:dyDescent="0.25">
      <c r="F520" s="268"/>
    </row>
    <row r="521" spans="6:6" x14ac:dyDescent="0.25">
      <c r="F521" s="268"/>
    </row>
    <row r="522" spans="6:6" x14ac:dyDescent="0.25">
      <c r="F522" s="268"/>
    </row>
    <row r="523" spans="6:6" x14ac:dyDescent="0.25">
      <c r="F523" s="268"/>
    </row>
    <row r="524" spans="6:6" x14ac:dyDescent="0.25">
      <c r="F524" s="268"/>
    </row>
    <row r="525" spans="6:6" x14ac:dyDescent="0.25">
      <c r="F525" s="268"/>
    </row>
    <row r="526" spans="6:6" x14ac:dyDescent="0.25">
      <c r="F526" s="268"/>
    </row>
    <row r="527" spans="6:6" x14ac:dyDescent="0.25">
      <c r="F527" s="268"/>
    </row>
    <row r="528" spans="6:6" x14ac:dyDescent="0.25">
      <c r="F528" s="268"/>
    </row>
    <row r="529" spans="6:6" x14ac:dyDescent="0.25">
      <c r="F529" s="268"/>
    </row>
    <row r="530" spans="6:6" x14ac:dyDescent="0.25">
      <c r="F530" s="268"/>
    </row>
    <row r="531" spans="6:6" x14ac:dyDescent="0.25">
      <c r="F531" s="268"/>
    </row>
    <row r="532" spans="6:6" x14ac:dyDescent="0.25">
      <c r="F532" s="268"/>
    </row>
    <row r="533" spans="6:6" x14ac:dyDescent="0.25">
      <c r="F533" s="268"/>
    </row>
    <row r="534" spans="6:6" x14ac:dyDescent="0.25">
      <c r="F534" s="268"/>
    </row>
    <row r="535" spans="6:6" x14ac:dyDescent="0.25">
      <c r="F535" s="268"/>
    </row>
    <row r="536" spans="6:6" x14ac:dyDescent="0.25">
      <c r="F536" s="268"/>
    </row>
    <row r="537" spans="6:6" x14ac:dyDescent="0.25">
      <c r="F537" s="268"/>
    </row>
    <row r="538" spans="6:6" x14ac:dyDescent="0.25">
      <c r="F538" s="268"/>
    </row>
    <row r="539" spans="6:6" x14ac:dyDescent="0.25">
      <c r="F539" s="268"/>
    </row>
    <row r="540" spans="6:6" x14ac:dyDescent="0.25">
      <c r="F540" s="268"/>
    </row>
    <row r="541" spans="6:6" x14ac:dyDescent="0.25">
      <c r="F541" s="268"/>
    </row>
    <row r="542" spans="6:6" x14ac:dyDescent="0.25">
      <c r="F542" s="268"/>
    </row>
    <row r="543" spans="6:6" x14ac:dyDescent="0.25">
      <c r="F543" s="268"/>
    </row>
    <row r="544" spans="6:6" x14ac:dyDescent="0.25">
      <c r="F544" s="268"/>
    </row>
    <row r="545" spans="6:6" x14ac:dyDescent="0.25">
      <c r="F545" s="268"/>
    </row>
    <row r="546" spans="6:6" x14ac:dyDescent="0.25">
      <c r="F546" s="268"/>
    </row>
    <row r="547" spans="6:6" x14ac:dyDescent="0.25">
      <c r="F547" s="268"/>
    </row>
    <row r="548" spans="6:6" x14ac:dyDescent="0.25">
      <c r="F548" s="268"/>
    </row>
    <row r="549" spans="6:6" x14ac:dyDescent="0.25">
      <c r="F549" s="268"/>
    </row>
    <row r="550" spans="6:6" x14ac:dyDescent="0.25">
      <c r="F550" s="268"/>
    </row>
    <row r="551" spans="6:6" x14ac:dyDescent="0.25">
      <c r="F551" s="268"/>
    </row>
    <row r="552" spans="6:6" x14ac:dyDescent="0.25">
      <c r="F552" s="268"/>
    </row>
    <row r="553" spans="6:6" x14ac:dyDescent="0.25">
      <c r="F553" s="268"/>
    </row>
    <row r="554" spans="6:6" x14ac:dyDescent="0.25">
      <c r="F554" s="268"/>
    </row>
    <row r="555" spans="6:6" x14ac:dyDescent="0.25">
      <c r="F555" s="268"/>
    </row>
    <row r="556" spans="6:6" x14ac:dyDescent="0.25">
      <c r="F556" s="268"/>
    </row>
    <row r="557" spans="6:6" x14ac:dyDescent="0.25">
      <c r="F557" s="268"/>
    </row>
    <row r="558" spans="6:6" x14ac:dyDescent="0.25">
      <c r="F558" s="268"/>
    </row>
    <row r="559" spans="6:6" x14ac:dyDescent="0.25">
      <c r="F559" s="268"/>
    </row>
    <row r="560" spans="6:6" x14ac:dyDescent="0.25">
      <c r="F560" s="268"/>
    </row>
    <row r="561" spans="6:6" x14ac:dyDescent="0.25">
      <c r="F561" s="268"/>
    </row>
    <row r="562" spans="6:6" x14ac:dyDescent="0.25">
      <c r="F562" s="268"/>
    </row>
    <row r="563" spans="6:6" x14ac:dyDescent="0.25">
      <c r="F563" s="268"/>
    </row>
    <row r="564" spans="6:6" x14ac:dyDescent="0.25">
      <c r="F564" s="268"/>
    </row>
    <row r="565" spans="6:6" x14ac:dyDescent="0.25">
      <c r="F565" s="268"/>
    </row>
    <row r="566" spans="6:6" x14ac:dyDescent="0.25">
      <c r="F566" s="268"/>
    </row>
    <row r="567" spans="6:6" x14ac:dyDescent="0.25">
      <c r="F567" s="268"/>
    </row>
    <row r="568" spans="6:6" x14ac:dyDescent="0.25">
      <c r="F568" s="268"/>
    </row>
    <row r="569" spans="6:6" x14ac:dyDescent="0.25">
      <c r="F569" s="268"/>
    </row>
    <row r="570" spans="6:6" x14ac:dyDescent="0.25">
      <c r="F570" s="268"/>
    </row>
    <row r="571" spans="6:6" x14ac:dyDescent="0.25">
      <c r="F571" s="268"/>
    </row>
    <row r="572" spans="6:6" x14ac:dyDescent="0.25">
      <c r="F572" s="268"/>
    </row>
    <row r="573" spans="6:6" x14ac:dyDescent="0.25">
      <c r="F573" s="268"/>
    </row>
    <row r="574" spans="6:6" x14ac:dyDescent="0.25">
      <c r="F574" s="268"/>
    </row>
    <row r="575" spans="6:6" x14ac:dyDescent="0.25">
      <c r="F575" s="268"/>
    </row>
    <row r="576" spans="6:6" x14ac:dyDescent="0.25">
      <c r="F576" s="268"/>
    </row>
    <row r="577" spans="6:6" x14ac:dyDescent="0.25">
      <c r="F577" s="268"/>
    </row>
    <row r="578" spans="6:6" x14ac:dyDescent="0.25">
      <c r="F578" s="268"/>
    </row>
    <row r="579" spans="6:6" x14ac:dyDescent="0.25">
      <c r="F579" s="268"/>
    </row>
    <row r="580" spans="6:6" x14ac:dyDescent="0.25">
      <c r="F580" s="268"/>
    </row>
    <row r="581" spans="6:6" x14ac:dyDescent="0.25">
      <c r="F581" s="268"/>
    </row>
    <row r="582" spans="6:6" x14ac:dyDescent="0.25">
      <c r="F582" s="268"/>
    </row>
    <row r="583" spans="6:6" x14ac:dyDescent="0.25">
      <c r="F583" s="268"/>
    </row>
    <row r="584" spans="6:6" x14ac:dyDescent="0.25">
      <c r="F584" s="268"/>
    </row>
    <row r="585" spans="6:6" x14ac:dyDescent="0.25">
      <c r="F585" s="268"/>
    </row>
    <row r="586" spans="6:6" x14ac:dyDescent="0.25">
      <c r="F586" s="268"/>
    </row>
    <row r="587" spans="6:6" x14ac:dyDescent="0.25">
      <c r="F587" s="268"/>
    </row>
    <row r="588" spans="6:6" x14ac:dyDescent="0.25">
      <c r="F588" s="268"/>
    </row>
    <row r="589" spans="6:6" x14ac:dyDescent="0.25">
      <c r="F589" s="268"/>
    </row>
    <row r="590" spans="6:6" x14ac:dyDescent="0.25">
      <c r="F590" s="268"/>
    </row>
    <row r="591" spans="6:6" x14ac:dyDescent="0.25">
      <c r="F591" s="268"/>
    </row>
    <row r="592" spans="6:6" x14ac:dyDescent="0.25">
      <c r="F592" s="268"/>
    </row>
    <row r="593" spans="6:6" x14ac:dyDescent="0.25">
      <c r="F593" s="268"/>
    </row>
    <row r="594" spans="6:6" x14ac:dyDescent="0.25">
      <c r="F594" s="268"/>
    </row>
    <row r="595" spans="6:6" x14ac:dyDescent="0.25">
      <c r="F595" s="268"/>
    </row>
    <row r="596" spans="6:6" x14ac:dyDescent="0.25">
      <c r="F596" s="268"/>
    </row>
    <row r="597" spans="6:6" x14ac:dyDescent="0.25">
      <c r="F597" s="268"/>
    </row>
    <row r="598" spans="6:6" x14ac:dyDescent="0.25">
      <c r="F598" s="268"/>
    </row>
    <row r="599" spans="6:6" x14ac:dyDescent="0.25">
      <c r="F599" s="268"/>
    </row>
    <row r="600" spans="6:6" x14ac:dyDescent="0.25">
      <c r="F600" s="268"/>
    </row>
    <row r="601" spans="6:6" x14ac:dyDescent="0.25">
      <c r="F601" s="268"/>
    </row>
    <row r="602" spans="6:6" x14ac:dyDescent="0.25">
      <c r="F602" s="268"/>
    </row>
    <row r="603" spans="6:6" x14ac:dyDescent="0.25">
      <c r="F603" s="268"/>
    </row>
    <row r="604" spans="6:6" x14ac:dyDescent="0.25">
      <c r="F604" s="268"/>
    </row>
    <row r="605" spans="6:6" x14ac:dyDescent="0.25">
      <c r="F605" s="268"/>
    </row>
    <row r="606" spans="6:6" x14ac:dyDescent="0.25">
      <c r="F606" s="268"/>
    </row>
    <row r="607" spans="6:6" x14ac:dyDescent="0.25">
      <c r="F607" s="268"/>
    </row>
    <row r="608" spans="6:6" x14ac:dyDescent="0.25">
      <c r="F608" s="268"/>
    </row>
    <row r="609" spans="6:6" x14ac:dyDescent="0.25">
      <c r="F609" s="268"/>
    </row>
    <row r="610" spans="6:6" x14ac:dyDescent="0.25">
      <c r="F610" s="268"/>
    </row>
    <row r="611" spans="6:6" x14ac:dyDescent="0.25">
      <c r="F611" s="268"/>
    </row>
    <row r="612" spans="6:6" x14ac:dyDescent="0.25">
      <c r="F612" s="268"/>
    </row>
    <row r="613" spans="6:6" x14ac:dyDescent="0.25">
      <c r="F613" s="268"/>
    </row>
    <row r="614" spans="6:6" x14ac:dyDescent="0.25">
      <c r="F614" s="268"/>
    </row>
    <row r="615" spans="6:6" x14ac:dyDescent="0.25">
      <c r="F615" s="268"/>
    </row>
    <row r="616" spans="6:6" x14ac:dyDescent="0.25">
      <c r="F616" s="268"/>
    </row>
    <row r="617" spans="6:6" x14ac:dyDescent="0.25">
      <c r="F617" s="268"/>
    </row>
    <row r="618" spans="6:6" x14ac:dyDescent="0.25">
      <c r="F618" s="268"/>
    </row>
    <row r="619" spans="6:6" x14ac:dyDescent="0.25">
      <c r="F619" s="268"/>
    </row>
    <row r="620" spans="6:6" x14ac:dyDescent="0.25">
      <c r="F620" s="268"/>
    </row>
    <row r="621" spans="6:6" x14ac:dyDescent="0.25">
      <c r="F621" s="268"/>
    </row>
    <row r="622" spans="6:6" x14ac:dyDescent="0.25">
      <c r="F622" s="268"/>
    </row>
    <row r="623" spans="6:6" x14ac:dyDescent="0.25">
      <c r="F623" s="268"/>
    </row>
    <row r="624" spans="6:6" x14ac:dyDescent="0.25">
      <c r="F624" s="268"/>
    </row>
    <row r="625" spans="6:6" x14ac:dyDescent="0.25">
      <c r="F625" s="268"/>
    </row>
    <row r="626" spans="6:6" x14ac:dyDescent="0.25">
      <c r="F626" s="268"/>
    </row>
    <row r="627" spans="6:6" x14ac:dyDescent="0.25">
      <c r="F627" s="268"/>
    </row>
    <row r="628" spans="6:6" x14ac:dyDescent="0.25">
      <c r="F628" s="268"/>
    </row>
    <row r="629" spans="6:6" x14ac:dyDescent="0.25">
      <c r="F629" s="268"/>
    </row>
    <row r="630" spans="6:6" x14ac:dyDescent="0.25">
      <c r="F630" s="268"/>
    </row>
    <row r="631" spans="6:6" x14ac:dyDescent="0.25">
      <c r="F631" s="268"/>
    </row>
    <row r="632" spans="6:6" x14ac:dyDescent="0.25">
      <c r="F632" s="268"/>
    </row>
    <row r="633" spans="6:6" x14ac:dyDescent="0.25">
      <c r="F633" s="268"/>
    </row>
    <row r="634" spans="6:6" x14ac:dyDescent="0.25">
      <c r="F634" s="268"/>
    </row>
    <row r="635" spans="6:6" x14ac:dyDescent="0.25">
      <c r="F635" s="268"/>
    </row>
    <row r="636" spans="6:6" x14ac:dyDescent="0.25">
      <c r="F636" s="268"/>
    </row>
    <row r="637" spans="6:6" x14ac:dyDescent="0.25">
      <c r="F637" s="268"/>
    </row>
    <row r="638" spans="6:6" x14ac:dyDescent="0.25">
      <c r="F638" s="268"/>
    </row>
    <row r="639" spans="6:6" x14ac:dyDescent="0.25">
      <c r="F639" s="268"/>
    </row>
    <row r="640" spans="6:6" x14ac:dyDescent="0.25">
      <c r="F640" s="268"/>
    </row>
    <row r="641" spans="6:6" x14ac:dyDescent="0.25">
      <c r="F641" s="268"/>
    </row>
    <row r="642" spans="6:6" x14ac:dyDescent="0.25">
      <c r="F642" s="268"/>
    </row>
    <row r="643" spans="6:6" x14ac:dyDescent="0.25">
      <c r="F643" s="268"/>
    </row>
    <row r="644" spans="6:6" x14ac:dyDescent="0.25">
      <c r="F644" s="268"/>
    </row>
    <row r="645" spans="6:6" x14ac:dyDescent="0.25">
      <c r="F645" s="268"/>
    </row>
    <row r="646" spans="6:6" x14ac:dyDescent="0.25">
      <c r="F646" s="268"/>
    </row>
    <row r="647" spans="6:6" x14ac:dyDescent="0.25">
      <c r="F647" s="268"/>
    </row>
    <row r="648" spans="6:6" x14ac:dyDescent="0.25">
      <c r="F648" s="268"/>
    </row>
    <row r="649" spans="6:6" x14ac:dyDescent="0.25">
      <c r="F649" s="268"/>
    </row>
    <row r="650" spans="6:6" x14ac:dyDescent="0.25">
      <c r="F650" s="268"/>
    </row>
    <row r="651" spans="6:6" x14ac:dyDescent="0.25">
      <c r="F651" s="268"/>
    </row>
    <row r="652" spans="6:6" x14ac:dyDescent="0.25">
      <c r="F652" s="268"/>
    </row>
    <row r="653" spans="6:6" x14ac:dyDescent="0.25">
      <c r="F653" s="268"/>
    </row>
    <row r="654" spans="6:6" x14ac:dyDescent="0.25">
      <c r="F654" s="268"/>
    </row>
    <row r="655" spans="6:6" x14ac:dyDescent="0.25">
      <c r="F655" s="268"/>
    </row>
    <row r="656" spans="6:6" x14ac:dyDescent="0.25">
      <c r="F656" s="268"/>
    </row>
    <row r="657" spans="6:6" x14ac:dyDescent="0.25">
      <c r="F657" s="268"/>
    </row>
    <row r="658" spans="6:6" x14ac:dyDescent="0.25">
      <c r="F658" s="268"/>
    </row>
    <row r="659" spans="6:6" x14ac:dyDescent="0.25">
      <c r="F659" s="268"/>
    </row>
    <row r="660" spans="6:6" x14ac:dyDescent="0.25">
      <c r="F660" s="268"/>
    </row>
    <row r="661" spans="6:6" x14ac:dyDescent="0.25">
      <c r="F661" s="268"/>
    </row>
    <row r="662" spans="6:6" x14ac:dyDescent="0.25">
      <c r="F662" s="268"/>
    </row>
    <row r="663" spans="6:6" x14ac:dyDescent="0.25">
      <c r="F663" s="268"/>
    </row>
    <row r="664" spans="6:6" x14ac:dyDescent="0.25">
      <c r="F664" s="268"/>
    </row>
    <row r="665" spans="6:6" x14ac:dyDescent="0.25">
      <c r="F665" s="268"/>
    </row>
    <row r="666" spans="6:6" x14ac:dyDescent="0.25">
      <c r="F666" s="268"/>
    </row>
    <row r="667" spans="6:6" x14ac:dyDescent="0.25">
      <c r="F667" s="268"/>
    </row>
    <row r="668" spans="6:6" x14ac:dyDescent="0.25">
      <c r="F668" s="268"/>
    </row>
    <row r="669" spans="6:6" x14ac:dyDescent="0.25">
      <c r="F669" s="268"/>
    </row>
    <row r="670" spans="6:6" x14ac:dyDescent="0.25">
      <c r="F670" s="268"/>
    </row>
    <row r="671" spans="6:6" x14ac:dyDescent="0.25">
      <c r="F671" s="268"/>
    </row>
    <row r="672" spans="6:6" x14ac:dyDescent="0.25">
      <c r="F672" s="268"/>
    </row>
    <row r="673" spans="6:6" x14ac:dyDescent="0.25">
      <c r="F673" s="268"/>
    </row>
    <row r="674" spans="6:6" x14ac:dyDescent="0.25">
      <c r="F674" s="268"/>
    </row>
    <row r="675" spans="6:6" x14ac:dyDescent="0.25">
      <c r="F675" s="268"/>
    </row>
    <row r="676" spans="6:6" x14ac:dyDescent="0.25">
      <c r="F676" s="268"/>
    </row>
    <row r="677" spans="6:6" x14ac:dyDescent="0.25">
      <c r="F677" s="268"/>
    </row>
    <row r="678" spans="6:6" x14ac:dyDescent="0.25">
      <c r="F678" s="268"/>
    </row>
    <row r="679" spans="6:6" x14ac:dyDescent="0.25">
      <c r="F679" s="268"/>
    </row>
    <row r="680" spans="6:6" x14ac:dyDescent="0.25">
      <c r="F680" s="268"/>
    </row>
    <row r="681" spans="6:6" x14ac:dyDescent="0.25">
      <c r="F681" s="268"/>
    </row>
    <row r="682" spans="6:6" x14ac:dyDescent="0.25">
      <c r="F682" s="268"/>
    </row>
    <row r="683" spans="6:6" x14ac:dyDescent="0.25">
      <c r="F683" s="268"/>
    </row>
    <row r="684" spans="6:6" x14ac:dyDescent="0.25">
      <c r="F684" s="268"/>
    </row>
    <row r="685" spans="6:6" x14ac:dyDescent="0.25">
      <c r="F685" s="268"/>
    </row>
    <row r="686" spans="6:6" x14ac:dyDescent="0.25">
      <c r="F686" s="268"/>
    </row>
    <row r="687" spans="6:6" x14ac:dyDescent="0.25">
      <c r="F687" s="268"/>
    </row>
    <row r="688" spans="6:6" x14ac:dyDescent="0.25">
      <c r="F688" s="268"/>
    </row>
    <row r="689" spans="6:6" x14ac:dyDescent="0.25">
      <c r="F689" s="268"/>
    </row>
    <row r="690" spans="6:6" x14ac:dyDescent="0.25">
      <c r="F690" s="268"/>
    </row>
    <row r="691" spans="6:6" x14ac:dyDescent="0.25">
      <c r="F691" s="268"/>
    </row>
    <row r="692" spans="6:6" x14ac:dyDescent="0.25">
      <c r="F692" s="268"/>
    </row>
    <row r="693" spans="6:6" x14ac:dyDescent="0.25">
      <c r="F693" s="268"/>
    </row>
    <row r="694" spans="6:6" x14ac:dyDescent="0.25">
      <c r="F694" s="268"/>
    </row>
    <row r="695" spans="6:6" x14ac:dyDescent="0.25">
      <c r="F695" s="268"/>
    </row>
    <row r="696" spans="6:6" x14ac:dyDescent="0.25">
      <c r="F696" s="268"/>
    </row>
    <row r="697" spans="6:6" x14ac:dyDescent="0.25">
      <c r="F697" s="268"/>
    </row>
    <row r="698" spans="6:6" x14ac:dyDescent="0.25">
      <c r="F698" s="268"/>
    </row>
    <row r="699" spans="6:6" x14ac:dyDescent="0.25">
      <c r="F699" s="268"/>
    </row>
    <row r="700" spans="6:6" x14ac:dyDescent="0.25">
      <c r="F700" s="268"/>
    </row>
    <row r="701" spans="6:6" x14ac:dyDescent="0.25">
      <c r="F701" s="268"/>
    </row>
    <row r="702" spans="6:6" x14ac:dyDescent="0.25">
      <c r="F702" s="268"/>
    </row>
    <row r="703" spans="6:6" x14ac:dyDescent="0.25">
      <c r="F703" s="268"/>
    </row>
    <row r="704" spans="6:6" x14ac:dyDescent="0.25">
      <c r="F704" s="268"/>
    </row>
    <row r="705" spans="6:6" x14ac:dyDescent="0.25">
      <c r="F705" s="268"/>
    </row>
    <row r="706" spans="6:6" x14ac:dyDescent="0.25">
      <c r="F706" s="268"/>
    </row>
    <row r="707" spans="6:6" x14ac:dyDescent="0.25">
      <c r="F707" s="268"/>
    </row>
    <row r="708" spans="6:6" x14ac:dyDescent="0.25">
      <c r="F708" s="268"/>
    </row>
    <row r="709" spans="6:6" x14ac:dyDescent="0.25">
      <c r="F709" s="268"/>
    </row>
    <row r="710" spans="6:6" x14ac:dyDescent="0.25">
      <c r="F710" s="268"/>
    </row>
    <row r="711" spans="6:6" x14ac:dyDescent="0.25">
      <c r="F711" s="268"/>
    </row>
    <row r="712" spans="6:6" x14ac:dyDescent="0.25">
      <c r="F712" s="268"/>
    </row>
    <row r="713" spans="6:6" x14ac:dyDescent="0.25">
      <c r="F713" s="268"/>
    </row>
    <row r="714" spans="6:6" x14ac:dyDescent="0.25">
      <c r="F714" s="268"/>
    </row>
    <row r="715" spans="6:6" x14ac:dyDescent="0.25">
      <c r="F715" s="268"/>
    </row>
    <row r="716" spans="6:6" x14ac:dyDescent="0.25">
      <c r="F716" s="268"/>
    </row>
    <row r="717" spans="6:6" x14ac:dyDescent="0.25">
      <c r="F717" s="268"/>
    </row>
    <row r="718" spans="6:6" x14ac:dyDescent="0.25">
      <c r="F718" s="268"/>
    </row>
    <row r="719" spans="6:6" x14ac:dyDescent="0.25">
      <c r="F719" s="268"/>
    </row>
    <row r="720" spans="6:6" x14ac:dyDescent="0.25">
      <c r="F720" s="268"/>
    </row>
    <row r="721" spans="6:6" x14ac:dyDescent="0.25">
      <c r="F721" s="268"/>
    </row>
    <row r="722" spans="6:6" x14ac:dyDescent="0.25">
      <c r="F722" s="268"/>
    </row>
    <row r="723" spans="6:6" x14ac:dyDescent="0.25">
      <c r="F723" s="268"/>
    </row>
    <row r="724" spans="6:6" x14ac:dyDescent="0.25">
      <c r="F724" s="268"/>
    </row>
    <row r="725" spans="6:6" x14ac:dyDescent="0.25">
      <c r="F725" s="268"/>
    </row>
    <row r="726" spans="6:6" x14ac:dyDescent="0.25">
      <c r="F726" s="268"/>
    </row>
    <row r="727" spans="6:6" x14ac:dyDescent="0.25">
      <c r="F727" s="268"/>
    </row>
    <row r="728" spans="6:6" x14ac:dyDescent="0.25">
      <c r="F728" s="268"/>
    </row>
    <row r="729" spans="6:6" x14ac:dyDescent="0.25">
      <c r="F729" s="268"/>
    </row>
    <row r="730" spans="6:6" x14ac:dyDescent="0.25">
      <c r="F730" s="268"/>
    </row>
    <row r="731" spans="6:6" x14ac:dyDescent="0.25">
      <c r="F731" s="268"/>
    </row>
    <row r="732" spans="6:6" x14ac:dyDescent="0.25">
      <c r="F732" s="268"/>
    </row>
    <row r="733" spans="6:6" x14ac:dyDescent="0.25">
      <c r="F733" s="268"/>
    </row>
    <row r="734" spans="6:6" x14ac:dyDescent="0.25">
      <c r="F734" s="268"/>
    </row>
    <row r="735" spans="6:6" x14ac:dyDescent="0.25">
      <c r="F735" s="268"/>
    </row>
    <row r="736" spans="6:6" x14ac:dyDescent="0.25">
      <c r="F736" s="268"/>
    </row>
    <row r="737" spans="6:6" x14ac:dyDescent="0.25">
      <c r="F737" s="268"/>
    </row>
    <row r="738" spans="6:6" x14ac:dyDescent="0.25">
      <c r="F738" s="268"/>
    </row>
    <row r="739" spans="6:6" x14ac:dyDescent="0.25">
      <c r="F739" s="268"/>
    </row>
    <row r="740" spans="6:6" x14ac:dyDescent="0.25">
      <c r="F740" s="268"/>
    </row>
    <row r="741" spans="6:6" x14ac:dyDescent="0.25">
      <c r="F741" s="268"/>
    </row>
    <row r="742" spans="6:6" x14ac:dyDescent="0.25">
      <c r="F742" s="268"/>
    </row>
    <row r="743" spans="6:6" x14ac:dyDescent="0.25">
      <c r="F743" s="268"/>
    </row>
    <row r="744" spans="6:6" x14ac:dyDescent="0.25">
      <c r="F744" s="268"/>
    </row>
    <row r="745" spans="6:6" x14ac:dyDescent="0.25">
      <c r="F745" s="268"/>
    </row>
    <row r="746" spans="6:6" x14ac:dyDescent="0.25">
      <c r="F746" s="268"/>
    </row>
    <row r="747" spans="6:6" x14ac:dyDescent="0.25">
      <c r="F747" s="268"/>
    </row>
    <row r="748" spans="6:6" x14ac:dyDescent="0.25">
      <c r="F748" s="268"/>
    </row>
    <row r="749" spans="6:6" x14ac:dyDescent="0.25">
      <c r="F749" s="268"/>
    </row>
    <row r="750" spans="6:6" x14ac:dyDescent="0.25">
      <c r="F750" s="268"/>
    </row>
    <row r="751" spans="6:6" x14ac:dyDescent="0.25">
      <c r="F751" s="268"/>
    </row>
    <row r="752" spans="6:6" x14ac:dyDescent="0.25">
      <c r="F752" s="268"/>
    </row>
    <row r="753" spans="6:6" x14ac:dyDescent="0.25">
      <c r="F753" s="268"/>
    </row>
    <row r="754" spans="6:6" x14ac:dyDescent="0.25">
      <c r="F754" s="268"/>
    </row>
    <row r="755" spans="6:6" x14ac:dyDescent="0.25">
      <c r="F755" s="268"/>
    </row>
    <row r="756" spans="6:6" x14ac:dyDescent="0.25">
      <c r="F756" s="268"/>
    </row>
    <row r="757" spans="6:6" x14ac:dyDescent="0.25">
      <c r="F757" s="268"/>
    </row>
    <row r="758" spans="6:6" x14ac:dyDescent="0.25">
      <c r="F758" s="268"/>
    </row>
    <row r="759" spans="6:6" x14ac:dyDescent="0.25">
      <c r="F759" s="268"/>
    </row>
    <row r="760" spans="6:6" x14ac:dyDescent="0.25">
      <c r="F760" s="268"/>
    </row>
    <row r="761" spans="6:6" x14ac:dyDescent="0.25">
      <c r="F761" s="268"/>
    </row>
    <row r="762" spans="6:6" x14ac:dyDescent="0.25">
      <c r="F762" s="268"/>
    </row>
    <row r="763" spans="6:6" x14ac:dyDescent="0.25">
      <c r="F763" s="268"/>
    </row>
    <row r="764" spans="6:6" x14ac:dyDescent="0.25">
      <c r="F764" s="268"/>
    </row>
    <row r="765" spans="6:6" x14ac:dyDescent="0.25">
      <c r="F765" s="268"/>
    </row>
    <row r="766" spans="6:6" x14ac:dyDescent="0.25">
      <c r="F766" s="268"/>
    </row>
    <row r="767" spans="6:6" x14ac:dyDescent="0.25">
      <c r="F767" s="268"/>
    </row>
    <row r="768" spans="6:6" x14ac:dyDescent="0.25">
      <c r="F768" s="268"/>
    </row>
    <row r="769" spans="6:6" x14ac:dyDescent="0.25">
      <c r="F769" s="268"/>
    </row>
    <row r="770" spans="6:6" x14ac:dyDescent="0.25">
      <c r="F770" s="268"/>
    </row>
    <row r="771" spans="6:6" x14ac:dyDescent="0.25">
      <c r="F771" s="268"/>
    </row>
    <row r="772" spans="6:6" x14ac:dyDescent="0.25">
      <c r="F772" s="268"/>
    </row>
    <row r="773" spans="6:6" x14ac:dyDescent="0.25">
      <c r="F773" s="268"/>
    </row>
    <row r="774" spans="6:6" x14ac:dyDescent="0.25">
      <c r="F774" s="268"/>
    </row>
    <row r="775" spans="6:6" x14ac:dyDescent="0.25">
      <c r="F775" s="268"/>
    </row>
    <row r="776" spans="6:6" x14ac:dyDescent="0.25">
      <c r="F776" s="268"/>
    </row>
    <row r="777" spans="6:6" x14ac:dyDescent="0.25">
      <c r="F777" s="268"/>
    </row>
    <row r="778" spans="6:6" x14ac:dyDescent="0.25">
      <c r="F778" s="268"/>
    </row>
    <row r="779" spans="6:6" x14ac:dyDescent="0.25">
      <c r="F779" s="268"/>
    </row>
    <row r="780" spans="6:6" x14ac:dyDescent="0.25">
      <c r="F780" s="268"/>
    </row>
    <row r="781" spans="6:6" x14ac:dyDescent="0.25">
      <c r="F781" s="268"/>
    </row>
    <row r="782" spans="6:6" x14ac:dyDescent="0.25">
      <c r="F782" s="268"/>
    </row>
    <row r="783" spans="6:6" x14ac:dyDescent="0.25">
      <c r="F783" s="268"/>
    </row>
    <row r="784" spans="6:6" x14ac:dyDescent="0.25">
      <c r="F784" s="268"/>
    </row>
    <row r="785" spans="6:6" x14ac:dyDescent="0.25">
      <c r="F785" s="268"/>
    </row>
    <row r="786" spans="6:6" x14ac:dyDescent="0.25">
      <c r="F786" s="268"/>
    </row>
    <row r="787" spans="6:6" x14ac:dyDescent="0.25">
      <c r="F787" s="268"/>
    </row>
    <row r="788" spans="6:6" x14ac:dyDescent="0.25">
      <c r="F788" s="268"/>
    </row>
    <row r="789" spans="6:6" x14ac:dyDescent="0.25">
      <c r="F789" s="268"/>
    </row>
    <row r="790" spans="6:6" x14ac:dyDescent="0.25">
      <c r="F790" s="268"/>
    </row>
    <row r="791" spans="6:6" x14ac:dyDescent="0.25">
      <c r="F791" s="268"/>
    </row>
    <row r="792" spans="6:6" x14ac:dyDescent="0.25">
      <c r="F792" s="268"/>
    </row>
    <row r="793" spans="6:6" x14ac:dyDescent="0.25">
      <c r="F793" s="268"/>
    </row>
    <row r="794" spans="6:6" x14ac:dyDescent="0.25">
      <c r="F794" s="268"/>
    </row>
    <row r="795" spans="6:6" x14ac:dyDescent="0.25">
      <c r="F795" s="268"/>
    </row>
    <row r="796" spans="6:6" x14ac:dyDescent="0.25">
      <c r="F796" s="268"/>
    </row>
    <row r="797" spans="6:6" x14ac:dyDescent="0.25">
      <c r="F797" s="268"/>
    </row>
    <row r="798" spans="6:6" x14ac:dyDescent="0.25">
      <c r="F798" s="268"/>
    </row>
    <row r="799" spans="6:6" x14ac:dyDescent="0.25">
      <c r="F799" s="268"/>
    </row>
    <row r="800" spans="6:6" x14ac:dyDescent="0.25">
      <c r="F800" s="268"/>
    </row>
    <row r="801" spans="6:6" x14ac:dyDescent="0.25">
      <c r="F801" s="268"/>
    </row>
    <row r="802" spans="6:6" x14ac:dyDescent="0.25">
      <c r="F802" s="268"/>
    </row>
    <row r="803" spans="6:6" x14ac:dyDescent="0.25">
      <c r="F803" s="268"/>
    </row>
    <row r="804" spans="6:6" x14ac:dyDescent="0.25">
      <c r="F804" s="268"/>
    </row>
    <row r="805" spans="6:6" x14ac:dyDescent="0.25">
      <c r="F805" s="268"/>
    </row>
    <row r="806" spans="6:6" x14ac:dyDescent="0.25">
      <c r="F806" s="268"/>
    </row>
    <row r="807" spans="6:6" x14ac:dyDescent="0.25">
      <c r="F807" s="268"/>
    </row>
    <row r="808" spans="6:6" x14ac:dyDescent="0.25">
      <c r="F808" s="268"/>
    </row>
    <row r="809" spans="6:6" x14ac:dyDescent="0.25">
      <c r="F809" s="268"/>
    </row>
    <row r="810" spans="6:6" x14ac:dyDescent="0.25">
      <c r="F810" s="268"/>
    </row>
    <row r="811" spans="6:6" x14ac:dyDescent="0.25">
      <c r="F811" s="268"/>
    </row>
    <row r="812" spans="6:6" x14ac:dyDescent="0.25">
      <c r="F812" s="268"/>
    </row>
    <row r="813" spans="6:6" x14ac:dyDescent="0.25">
      <c r="F813" s="268"/>
    </row>
    <row r="814" spans="6:6" x14ac:dyDescent="0.25">
      <c r="F814" s="268"/>
    </row>
    <row r="815" spans="6:6" x14ac:dyDescent="0.25">
      <c r="F815" s="268"/>
    </row>
    <row r="816" spans="6:6" x14ac:dyDescent="0.25">
      <c r="F816" s="268"/>
    </row>
    <row r="817" spans="6:6" x14ac:dyDescent="0.25">
      <c r="F817" s="268"/>
    </row>
    <row r="818" spans="6:6" x14ac:dyDescent="0.25">
      <c r="F818" s="268"/>
    </row>
    <row r="819" spans="6:6" x14ac:dyDescent="0.25">
      <c r="F819" s="268"/>
    </row>
    <row r="820" spans="6:6" x14ac:dyDescent="0.25">
      <c r="F820" s="268"/>
    </row>
    <row r="821" spans="6:6" x14ac:dyDescent="0.25">
      <c r="F821" s="268"/>
    </row>
    <row r="822" spans="6:6" x14ac:dyDescent="0.25">
      <c r="F822" s="268"/>
    </row>
    <row r="823" spans="6:6" x14ac:dyDescent="0.25">
      <c r="F823" s="268"/>
    </row>
    <row r="824" spans="6:6" x14ac:dyDescent="0.25">
      <c r="F824" s="268"/>
    </row>
    <row r="825" spans="6:6" x14ac:dyDescent="0.25">
      <c r="F825" s="268"/>
    </row>
    <row r="826" spans="6:6" x14ac:dyDescent="0.25">
      <c r="F826" s="268"/>
    </row>
    <row r="827" spans="6:6" x14ac:dyDescent="0.25">
      <c r="F827" s="268"/>
    </row>
    <row r="828" spans="6:6" x14ac:dyDescent="0.25">
      <c r="F828" s="268"/>
    </row>
    <row r="829" spans="6:6" x14ac:dyDescent="0.25">
      <c r="F829" s="268"/>
    </row>
    <row r="830" spans="6:6" x14ac:dyDescent="0.25">
      <c r="F830" s="268"/>
    </row>
    <row r="831" spans="6:6" x14ac:dyDescent="0.25">
      <c r="F831" s="268"/>
    </row>
    <row r="832" spans="6:6" x14ac:dyDescent="0.25">
      <c r="F832" s="268"/>
    </row>
    <row r="833" spans="6:6" x14ac:dyDescent="0.25">
      <c r="F833" s="268"/>
    </row>
    <row r="834" spans="6:6" x14ac:dyDescent="0.25">
      <c r="F834" s="268"/>
    </row>
    <row r="835" spans="6:6" x14ac:dyDescent="0.25">
      <c r="F835" s="268"/>
    </row>
    <row r="836" spans="6:6" x14ac:dyDescent="0.25">
      <c r="F836" s="268"/>
    </row>
    <row r="837" spans="6:6" x14ac:dyDescent="0.25">
      <c r="F837" s="268"/>
    </row>
    <row r="838" spans="6:6" x14ac:dyDescent="0.25">
      <c r="F838" s="268"/>
    </row>
    <row r="839" spans="6:6" x14ac:dyDescent="0.25">
      <c r="F839" s="268"/>
    </row>
    <row r="840" spans="6:6" x14ac:dyDescent="0.25">
      <c r="F840" s="268"/>
    </row>
    <row r="841" spans="6:6" x14ac:dyDescent="0.25">
      <c r="F841" s="268"/>
    </row>
    <row r="842" spans="6:6" x14ac:dyDescent="0.25">
      <c r="F842" s="268"/>
    </row>
    <row r="843" spans="6:6" x14ac:dyDescent="0.25">
      <c r="F843" s="268"/>
    </row>
    <row r="844" spans="6:6" x14ac:dyDescent="0.25">
      <c r="F844" s="268"/>
    </row>
    <row r="845" spans="6:6" x14ac:dyDescent="0.25">
      <c r="F845" s="268"/>
    </row>
    <row r="846" spans="6:6" x14ac:dyDescent="0.25">
      <c r="F846" s="268"/>
    </row>
    <row r="847" spans="6:6" x14ac:dyDescent="0.25">
      <c r="F847" s="268"/>
    </row>
    <row r="848" spans="6:6" x14ac:dyDescent="0.25">
      <c r="F848" s="268"/>
    </row>
    <row r="849" spans="6:6" x14ac:dyDescent="0.25">
      <c r="F849" s="268"/>
    </row>
    <row r="850" spans="6:6" x14ac:dyDescent="0.25">
      <c r="F850" s="268"/>
    </row>
    <row r="851" spans="6:6" x14ac:dyDescent="0.25">
      <c r="F851" s="268"/>
    </row>
    <row r="852" spans="6:6" x14ac:dyDescent="0.25">
      <c r="F852" s="268"/>
    </row>
    <row r="853" spans="6:6" x14ac:dyDescent="0.25">
      <c r="F853" s="268"/>
    </row>
    <row r="854" spans="6:6" x14ac:dyDescent="0.25">
      <c r="F854" s="268"/>
    </row>
    <row r="855" spans="6:6" x14ac:dyDescent="0.25">
      <c r="F855" s="268"/>
    </row>
    <row r="856" spans="6:6" x14ac:dyDescent="0.25">
      <c r="F856" s="268"/>
    </row>
    <row r="857" spans="6:6" x14ac:dyDescent="0.25">
      <c r="F857" s="268"/>
    </row>
    <row r="858" spans="6:6" x14ac:dyDescent="0.25">
      <c r="F858" s="268"/>
    </row>
    <row r="859" spans="6:6" x14ac:dyDescent="0.25">
      <c r="F859" s="268"/>
    </row>
    <row r="860" spans="6:6" x14ac:dyDescent="0.25">
      <c r="F860" s="268"/>
    </row>
    <row r="861" spans="6:6" x14ac:dyDescent="0.25">
      <c r="F861" s="268"/>
    </row>
    <row r="862" spans="6:6" x14ac:dyDescent="0.25">
      <c r="F862" s="268"/>
    </row>
    <row r="863" spans="6:6" x14ac:dyDescent="0.25">
      <c r="F863" s="268"/>
    </row>
    <row r="864" spans="6:6" x14ac:dyDescent="0.25">
      <c r="F864" s="268"/>
    </row>
    <row r="865" spans="6:6" x14ac:dyDescent="0.25">
      <c r="F865" s="268"/>
    </row>
    <row r="866" spans="6:6" x14ac:dyDescent="0.25">
      <c r="F866" s="268"/>
    </row>
    <row r="867" spans="6:6" x14ac:dyDescent="0.25">
      <c r="F867" s="268"/>
    </row>
    <row r="868" spans="6:6" x14ac:dyDescent="0.25">
      <c r="F868" s="268"/>
    </row>
    <row r="869" spans="6:6" x14ac:dyDescent="0.25">
      <c r="F869" s="268"/>
    </row>
    <row r="870" spans="6:6" x14ac:dyDescent="0.25">
      <c r="F870" s="268"/>
    </row>
    <row r="871" spans="6:6" x14ac:dyDescent="0.25">
      <c r="F871" s="268"/>
    </row>
    <row r="872" spans="6:6" x14ac:dyDescent="0.25">
      <c r="F872" s="268"/>
    </row>
    <row r="873" spans="6:6" x14ac:dyDescent="0.25">
      <c r="F873" s="268"/>
    </row>
    <row r="874" spans="6:6" x14ac:dyDescent="0.25">
      <c r="F874" s="268"/>
    </row>
    <row r="875" spans="6:6" x14ac:dyDescent="0.25">
      <c r="F875" s="268"/>
    </row>
    <row r="876" spans="6:6" x14ac:dyDescent="0.25">
      <c r="F876" s="268"/>
    </row>
    <row r="877" spans="6:6" x14ac:dyDescent="0.25">
      <c r="F877" s="268"/>
    </row>
    <row r="878" spans="6:6" x14ac:dyDescent="0.25">
      <c r="F878" s="268"/>
    </row>
    <row r="879" spans="6:6" x14ac:dyDescent="0.25">
      <c r="F879" s="268"/>
    </row>
    <row r="880" spans="6:6" x14ac:dyDescent="0.25">
      <c r="F880" s="268"/>
    </row>
    <row r="881" spans="6:6" x14ac:dyDescent="0.25">
      <c r="F881" s="268"/>
    </row>
    <row r="882" spans="6:6" x14ac:dyDescent="0.25">
      <c r="F882" s="268"/>
    </row>
    <row r="883" spans="6:6" x14ac:dyDescent="0.25">
      <c r="F883" s="268"/>
    </row>
    <row r="884" spans="6:6" x14ac:dyDescent="0.25">
      <c r="F884" s="268"/>
    </row>
    <row r="885" spans="6:6" x14ac:dyDescent="0.25">
      <c r="F885" s="268"/>
    </row>
    <row r="886" spans="6:6" x14ac:dyDescent="0.25">
      <c r="F886" s="268"/>
    </row>
    <row r="887" spans="6:6" x14ac:dyDescent="0.25">
      <c r="F887" s="268"/>
    </row>
    <row r="888" spans="6:6" x14ac:dyDescent="0.25">
      <c r="F888" s="268"/>
    </row>
    <row r="889" spans="6:6" x14ac:dyDescent="0.25">
      <c r="F889" s="268"/>
    </row>
    <row r="890" spans="6:6" x14ac:dyDescent="0.25">
      <c r="F890" s="268"/>
    </row>
    <row r="891" spans="6:6" x14ac:dyDescent="0.25">
      <c r="F891" s="268"/>
    </row>
    <row r="892" spans="6:6" x14ac:dyDescent="0.25">
      <c r="F892" s="268"/>
    </row>
    <row r="893" spans="6:6" x14ac:dyDescent="0.25">
      <c r="F893" s="268"/>
    </row>
    <row r="894" spans="6:6" x14ac:dyDescent="0.25">
      <c r="F894" s="268"/>
    </row>
    <row r="895" spans="6:6" x14ac:dyDescent="0.25">
      <c r="F895" s="268"/>
    </row>
    <row r="896" spans="6:6" x14ac:dyDescent="0.25">
      <c r="F896" s="268"/>
    </row>
    <row r="897" spans="6:6" x14ac:dyDescent="0.25">
      <c r="F897" s="268"/>
    </row>
    <row r="898" spans="6:6" x14ac:dyDescent="0.25">
      <c r="F898" s="268"/>
    </row>
    <row r="899" spans="6:6" x14ac:dyDescent="0.25">
      <c r="F899" s="268"/>
    </row>
    <row r="900" spans="6:6" x14ac:dyDescent="0.25">
      <c r="F900" s="268"/>
    </row>
    <row r="901" spans="6:6" x14ac:dyDescent="0.25">
      <c r="F901" s="268"/>
    </row>
    <row r="902" spans="6:6" x14ac:dyDescent="0.25">
      <c r="F902" s="268"/>
    </row>
    <row r="903" spans="6:6" x14ac:dyDescent="0.25">
      <c r="F903" s="268"/>
    </row>
    <row r="904" spans="6:6" x14ac:dyDescent="0.25">
      <c r="F904" s="268"/>
    </row>
    <row r="905" spans="6:6" x14ac:dyDescent="0.25">
      <c r="F905" s="268"/>
    </row>
    <row r="906" spans="6:6" x14ac:dyDescent="0.25">
      <c r="F906" s="268"/>
    </row>
    <row r="907" spans="6:6" x14ac:dyDescent="0.25">
      <c r="F907" s="268"/>
    </row>
    <row r="908" spans="6:6" x14ac:dyDescent="0.25">
      <c r="F908" s="268"/>
    </row>
    <row r="909" spans="6:6" x14ac:dyDescent="0.25">
      <c r="F909" s="268"/>
    </row>
    <row r="910" spans="6:6" x14ac:dyDescent="0.25">
      <c r="F910" s="268"/>
    </row>
    <row r="911" spans="6:6" x14ac:dyDescent="0.25">
      <c r="F911" s="268"/>
    </row>
    <row r="912" spans="6:6" x14ac:dyDescent="0.25">
      <c r="F912" s="268"/>
    </row>
    <row r="913" spans="6:6" x14ac:dyDescent="0.25">
      <c r="F913" s="268"/>
    </row>
    <row r="914" spans="6:6" x14ac:dyDescent="0.25">
      <c r="F914" s="268"/>
    </row>
    <row r="915" spans="6:6" x14ac:dyDescent="0.25">
      <c r="F915" s="268"/>
    </row>
    <row r="916" spans="6:6" x14ac:dyDescent="0.25">
      <c r="F916" s="268"/>
    </row>
    <row r="917" spans="6:6" x14ac:dyDescent="0.25">
      <c r="F917" s="268"/>
    </row>
    <row r="918" spans="6:6" x14ac:dyDescent="0.25">
      <c r="F918" s="268"/>
    </row>
    <row r="919" spans="6:6" x14ac:dyDescent="0.25">
      <c r="F919" s="268"/>
    </row>
    <row r="920" spans="6:6" x14ac:dyDescent="0.25">
      <c r="F920" s="268"/>
    </row>
    <row r="921" spans="6:6" x14ac:dyDescent="0.25">
      <c r="F921" s="268"/>
    </row>
    <row r="922" spans="6:6" x14ac:dyDescent="0.25">
      <c r="F922" s="268"/>
    </row>
    <row r="923" spans="6:6" x14ac:dyDescent="0.25">
      <c r="F923" s="268"/>
    </row>
    <row r="924" spans="6:6" x14ac:dyDescent="0.25">
      <c r="F924" s="268"/>
    </row>
    <row r="925" spans="6:6" x14ac:dyDescent="0.25">
      <c r="F925" s="268"/>
    </row>
    <row r="926" spans="6:6" x14ac:dyDescent="0.25">
      <c r="F926" s="268"/>
    </row>
    <row r="927" spans="6:6" x14ac:dyDescent="0.25">
      <c r="F927" s="268"/>
    </row>
    <row r="928" spans="6:6" x14ac:dyDescent="0.25">
      <c r="F928" s="268"/>
    </row>
    <row r="929" spans="6:6" x14ac:dyDescent="0.25">
      <c r="F929" s="268"/>
    </row>
    <row r="930" spans="6:6" x14ac:dyDescent="0.25">
      <c r="F930" s="268"/>
    </row>
    <row r="931" spans="6:6" x14ac:dyDescent="0.25">
      <c r="F931" s="268"/>
    </row>
    <row r="932" spans="6:6" x14ac:dyDescent="0.25">
      <c r="F932" s="268"/>
    </row>
    <row r="933" spans="6:6" x14ac:dyDescent="0.25">
      <c r="F933" s="268"/>
    </row>
    <row r="934" spans="6:6" x14ac:dyDescent="0.25">
      <c r="F934" s="268"/>
    </row>
    <row r="935" spans="6:6" x14ac:dyDescent="0.25">
      <c r="F935" s="268"/>
    </row>
    <row r="936" spans="6:6" x14ac:dyDescent="0.25">
      <c r="F936" s="268"/>
    </row>
    <row r="937" spans="6:6" x14ac:dyDescent="0.25">
      <c r="F937" s="268"/>
    </row>
    <row r="938" spans="6:6" x14ac:dyDescent="0.25">
      <c r="F938" s="268"/>
    </row>
    <row r="939" spans="6:6" x14ac:dyDescent="0.25">
      <c r="F939" s="268"/>
    </row>
    <row r="940" spans="6:6" x14ac:dyDescent="0.25">
      <c r="F940" s="268"/>
    </row>
    <row r="941" spans="6:6" x14ac:dyDescent="0.25">
      <c r="F941" s="268"/>
    </row>
    <row r="942" spans="6:6" x14ac:dyDescent="0.25">
      <c r="F942" s="268"/>
    </row>
    <row r="943" spans="6:6" x14ac:dyDescent="0.25">
      <c r="F943" s="268"/>
    </row>
    <row r="944" spans="6:6" x14ac:dyDescent="0.25">
      <c r="F944" s="268"/>
    </row>
    <row r="945" spans="6:6" x14ac:dyDescent="0.25">
      <c r="F945" s="268"/>
    </row>
    <row r="946" spans="6:6" x14ac:dyDescent="0.25">
      <c r="F946" s="268"/>
    </row>
    <row r="947" spans="6:6" x14ac:dyDescent="0.25">
      <c r="F947" s="268"/>
    </row>
    <row r="948" spans="6:6" x14ac:dyDescent="0.25">
      <c r="F948" s="268"/>
    </row>
    <row r="949" spans="6:6" x14ac:dyDescent="0.25">
      <c r="F949" s="268"/>
    </row>
    <row r="950" spans="6:6" x14ac:dyDescent="0.25">
      <c r="F950" s="268"/>
    </row>
    <row r="951" spans="6:6" x14ac:dyDescent="0.25">
      <c r="F951" s="268"/>
    </row>
    <row r="952" spans="6:6" x14ac:dyDescent="0.25">
      <c r="F952" s="268"/>
    </row>
    <row r="953" spans="6:6" x14ac:dyDescent="0.25">
      <c r="F953" s="268"/>
    </row>
    <row r="954" spans="6:6" x14ac:dyDescent="0.25">
      <c r="F954" s="268"/>
    </row>
    <row r="955" spans="6:6" x14ac:dyDescent="0.25">
      <c r="F955" s="268"/>
    </row>
    <row r="956" spans="6:6" x14ac:dyDescent="0.25">
      <c r="F956" s="268"/>
    </row>
    <row r="957" spans="6:6" x14ac:dyDescent="0.25">
      <c r="F957" s="268"/>
    </row>
    <row r="958" spans="6:6" x14ac:dyDescent="0.25">
      <c r="F958" s="268"/>
    </row>
    <row r="959" spans="6:6" x14ac:dyDescent="0.25">
      <c r="F959" s="268"/>
    </row>
    <row r="960" spans="6:6" x14ac:dyDescent="0.25">
      <c r="F960" s="268"/>
    </row>
    <row r="961" spans="6:6" x14ac:dyDescent="0.25">
      <c r="F961" s="268"/>
    </row>
    <row r="962" spans="6:6" x14ac:dyDescent="0.25">
      <c r="F962" s="268"/>
    </row>
    <row r="963" spans="6:6" x14ac:dyDescent="0.25">
      <c r="F963" s="268"/>
    </row>
    <row r="964" spans="6:6" x14ac:dyDescent="0.25">
      <c r="F964" s="268"/>
    </row>
    <row r="965" spans="6:6" x14ac:dyDescent="0.25">
      <c r="F965" s="268"/>
    </row>
    <row r="966" spans="6:6" x14ac:dyDescent="0.25">
      <c r="F966" s="268"/>
    </row>
    <row r="967" spans="6:6" x14ac:dyDescent="0.25">
      <c r="F967" s="268"/>
    </row>
    <row r="968" spans="6:6" x14ac:dyDescent="0.25">
      <c r="F968" s="268"/>
    </row>
    <row r="969" spans="6:6" x14ac:dyDescent="0.25">
      <c r="F969" s="268"/>
    </row>
    <row r="970" spans="6:6" x14ac:dyDescent="0.25">
      <c r="F970" s="268"/>
    </row>
    <row r="971" spans="6:6" x14ac:dyDescent="0.25">
      <c r="F971" s="268"/>
    </row>
    <row r="972" spans="6:6" x14ac:dyDescent="0.25">
      <c r="F972" s="268"/>
    </row>
    <row r="973" spans="6:6" x14ac:dyDescent="0.25">
      <c r="F973" s="268"/>
    </row>
    <row r="974" spans="6:6" x14ac:dyDescent="0.25">
      <c r="F974" s="268"/>
    </row>
    <row r="975" spans="6:6" x14ac:dyDescent="0.25">
      <c r="F975" s="268"/>
    </row>
    <row r="976" spans="6:6" x14ac:dyDescent="0.25">
      <c r="F976" s="268"/>
    </row>
    <row r="977" spans="6:6" x14ac:dyDescent="0.25">
      <c r="F977" s="268"/>
    </row>
    <row r="978" spans="6:6" x14ac:dyDescent="0.25">
      <c r="F978" s="268"/>
    </row>
    <row r="979" spans="6:6" x14ac:dyDescent="0.25">
      <c r="F979" s="268"/>
    </row>
    <row r="980" spans="6:6" x14ac:dyDescent="0.25">
      <c r="F980" s="268"/>
    </row>
    <row r="981" spans="6:6" x14ac:dyDescent="0.25">
      <c r="F981" s="268"/>
    </row>
    <row r="982" spans="6:6" x14ac:dyDescent="0.25">
      <c r="F982" s="268"/>
    </row>
    <row r="983" spans="6:6" x14ac:dyDescent="0.25">
      <c r="F983" s="268"/>
    </row>
    <row r="984" spans="6:6" x14ac:dyDescent="0.25">
      <c r="F984" s="268"/>
    </row>
    <row r="985" spans="6:6" x14ac:dyDescent="0.25">
      <c r="F985" s="268"/>
    </row>
    <row r="986" spans="6:6" x14ac:dyDescent="0.25">
      <c r="F986" s="268"/>
    </row>
    <row r="987" spans="6:6" x14ac:dyDescent="0.25">
      <c r="F987" s="268"/>
    </row>
    <row r="988" spans="6:6" x14ac:dyDescent="0.25">
      <c r="F988" s="268"/>
    </row>
    <row r="989" spans="6:6" x14ac:dyDescent="0.25">
      <c r="F989" s="268"/>
    </row>
    <row r="990" spans="6:6" x14ac:dyDescent="0.25">
      <c r="F990" s="268"/>
    </row>
    <row r="991" spans="6:6" x14ac:dyDescent="0.25">
      <c r="F991" s="268"/>
    </row>
    <row r="992" spans="6:6" x14ac:dyDescent="0.25">
      <c r="F992" s="268"/>
    </row>
    <row r="993" spans="6:6" x14ac:dyDescent="0.25">
      <c r="F993" s="268"/>
    </row>
    <row r="994" spans="6:6" x14ac:dyDescent="0.25">
      <c r="F994" s="268"/>
    </row>
    <row r="995" spans="6:6" x14ac:dyDescent="0.25">
      <c r="F995" s="268"/>
    </row>
    <row r="996" spans="6:6" x14ac:dyDescent="0.25">
      <c r="F996" s="268"/>
    </row>
    <row r="997" spans="6:6" x14ac:dyDescent="0.25">
      <c r="F997" s="268"/>
    </row>
    <row r="998" spans="6:6" x14ac:dyDescent="0.25">
      <c r="F998" s="268"/>
    </row>
    <row r="999" spans="6:6" x14ac:dyDescent="0.25">
      <c r="F999" s="268"/>
    </row>
    <row r="1000" spans="6:6" x14ac:dyDescent="0.25">
      <c r="F1000" s="268"/>
    </row>
    <row r="1001" spans="6:6" x14ac:dyDescent="0.25">
      <c r="F1001" s="268"/>
    </row>
    <row r="1002" spans="6:6" x14ac:dyDescent="0.25">
      <c r="F1002" s="268"/>
    </row>
    <row r="1003" spans="6:6" x14ac:dyDescent="0.25">
      <c r="F1003" s="268"/>
    </row>
    <row r="1004" spans="6:6" x14ac:dyDescent="0.25">
      <c r="F1004" s="268"/>
    </row>
    <row r="1005" spans="6:6" x14ac:dyDescent="0.25">
      <c r="F1005" s="268"/>
    </row>
    <row r="1006" spans="6:6" x14ac:dyDescent="0.25">
      <c r="F1006" s="268"/>
    </row>
    <row r="1007" spans="6:6" x14ac:dyDescent="0.25">
      <c r="F1007" s="268"/>
    </row>
    <row r="1008" spans="6:6" x14ac:dyDescent="0.25">
      <c r="F1008" s="268"/>
    </row>
    <row r="1009" spans="6:6" x14ac:dyDescent="0.25">
      <c r="F1009" s="268"/>
    </row>
    <row r="1010" spans="6:6" x14ac:dyDescent="0.25">
      <c r="F1010" s="268"/>
    </row>
    <row r="1011" spans="6:6" x14ac:dyDescent="0.25">
      <c r="F1011" s="268"/>
    </row>
    <row r="1012" spans="6:6" x14ac:dyDescent="0.25">
      <c r="F1012" s="268"/>
    </row>
    <row r="1013" spans="6:6" x14ac:dyDescent="0.25">
      <c r="F1013" s="268"/>
    </row>
    <row r="1014" spans="6:6" x14ac:dyDescent="0.25">
      <c r="F1014" s="268"/>
    </row>
    <row r="1015" spans="6:6" x14ac:dyDescent="0.25">
      <c r="F1015" s="268"/>
    </row>
    <row r="1016" spans="6:6" x14ac:dyDescent="0.25">
      <c r="F1016" s="268"/>
    </row>
    <row r="1017" spans="6:6" x14ac:dyDescent="0.25">
      <c r="F1017" s="268"/>
    </row>
    <row r="1018" spans="6:6" x14ac:dyDescent="0.25">
      <c r="F1018" s="268"/>
    </row>
    <row r="1019" spans="6:6" x14ac:dyDescent="0.25">
      <c r="F1019" s="268"/>
    </row>
    <row r="1020" spans="6:6" x14ac:dyDescent="0.25">
      <c r="F1020" s="268"/>
    </row>
    <row r="1021" spans="6:6" x14ac:dyDescent="0.25">
      <c r="F1021" s="268"/>
    </row>
    <row r="1022" spans="6:6" x14ac:dyDescent="0.25">
      <c r="F1022" s="268"/>
    </row>
    <row r="1023" spans="6:6" x14ac:dyDescent="0.25">
      <c r="F1023" s="268"/>
    </row>
    <row r="1024" spans="6:6" x14ac:dyDescent="0.25">
      <c r="F1024" s="268"/>
    </row>
    <row r="1025" spans="6:6" x14ac:dyDescent="0.25">
      <c r="F1025" s="268"/>
    </row>
    <row r="1026" spans="6:6" x14ac:dyDescent="0.25">
      <c r="F1026" s="268"/>
    </row>
    <row r="1027" spans="6:6" x14ac:dyDescent="0.25">
      <c r="F1027" s="268"/>
    </row>
    <row r="1028" spans="6:6" x14ac:dyDescent="0.25">
      <c r="F1028" s="268"/>
    </row>
    <row r="1029" spans="6:6" x14ac:dyDescent="0.25">
      <c r="F1029" s="268"/>
    </row>
    <row r="1030" spans="6:6" x14ac:dyDescent="0.25">
      <c r="F1030" s="268"/>
    </row>
    <row r="1031" spans="6:6" x14ac:dyDescent="0.25">
      <c r="F1031" s="268"/>
    </row>
    <row r="1032" spans="6:6" x14ac:dyDescent="0.25">
      <c r="F1032" s="268"/>
    </row>
    <row r="1033" spans="6:6" x14ac:dyDescent="0.25">
      <c r="F1033" s="268"/>
    </row>
    <row r="1034" spans="6:6" x14ac:dyDescent="0.25">
      <c r="F1034" s="268"/>
    </row>
    <row r="1035" spans="6:6" x14ac:dyDescent="0.25">
      <c r="F1035" s="268"/>
    </row>
    <row r="1036" spans="6:6" x14ac:dyDescent="0.25">
      <c r="F1036" s="268"/>
    </row>
    <row r="1037" spans="6:6" x14ac:dyDescent="0.25">
      <c r="F1037" s="268"/>
    </row>
    <row r="1038" spans="6:6" x14ac:dyDescent="0.25">
      <c r="F1038" s="268"/>
    </row>
    <row r="1039" spans="6:6" x14ac:dyDescent="0.25">
      <c r="F1039" s="268"/>
    </row>
    <row r="1040" spans="6:6" x14ac:dyDescent="0.25">
      <c r="F1040" s="268"/>
    </row>
    <row r="1041" spans="6:6" x14ac:dyDescent="0.25">
      <c r="F1041" s="268"/>
    </row>
    <row r="1042" spans="6:6" x14ac:dyDescent="0.25">
      <c r="F1042" s="268"/>
    </row>
    <row r="1043" spans="6:6" x14ac:dyDescent="0.25">
      <c r="F1043" s="268"/>
    </row>
    <row r="1044" spans="6:6" x14ac:dyDescent="0.25">
      <c r="F1044" s="268"/>
    </row>
    <row r="1045" spans="6:6" x14ac:dyDescent="0.25">
      <c r="F1045" s="268"/>
    </row>
    <row r="1046" spans="6:6" x14ac:dyDescent="0.25">
      <c r="F1046" s="268"/>
    </row>
    <row r="1047" spans="6:6" x14ac:dyDescent="0.25">
      <c r="F1047" s="268"/>
    </row>
    <row r="1048" spans="6:6" x14ac:dyDescent="0.25">
      <c r="F1048" s="268"/>
    </row>
    <row r="1049" spans="6:6" x14ac:dyDescent="0.25">
      <c r="F1049" s="268"/>
    </row>
    <row r="1050" spans="6:6" x14ac:dyDescent="0.25">
      <c r="F1050" s="268"/>
    </row>
    <row r="1051" spans="6:6" x14ac:dyDescent="0.25">
      <c r="F1051" s="268"/>
    </row>
    <row r="1052" spans="6:6" x14ac:dyDescent="0.25">
      <c r="F1052" s="268"/>
    </row>
    <row r="1053" spans="6:6" x14ac:dyDescent="0.25">
      <c r="F1053" s="268"/>
    </row>
    <row r="1054" spans="6:6" x14ac:dyDescent="0.25">
      <c r="F1054" s="268"/>
    </row>
    <row r="1055" spans="6:6" x14ac:dyDescent="0.25">
      <c r="F1055" s="268"/>
    </row>
    <row r="1056" spans="6:6" x14ac:dyDescent="0.25">
      <c r="F1056" s="268"/>
    </row>
    <row r="1057" spans="6:6" x14ac:dyDescent="0.25">
      <c r="F1057" s="268"/>
    </row>
    <row r="1058" spans="6:6" x14ac:dyDescent="0.25">
      <c r="F1058" s="268"/>
    </row>
    <row r="1059" spans="6:6" x14ac:dyDescent="0.25">
      <c r="F1059" s="268"/>
    </row>
    <row r="1060" spans="6:6" x14ac:dyDescent="0.25">
      <c r="F1060" s="268"/>
    </row>
    <row r="1061" spans="6:6" x14ac:dyDescent="0.25">
      <c r="F1061" s="268"/>
    </row>
    <row r="1062" spans="6:6" x14ac:dyDescent="0.25">
      <c r="F1062" s="268"/>
    </row>
    <row r="1063" spans="6:6" x14ac:dyDescent="0.25">
      <c r="F1063" s="268"/>
    </row>
    <row r="1064" spans="6:6" x14ac:dyDescent="0.25">
      <c r="F1064" s="268"/>
    </row>
    <row r="1065" spans="6:6" x14ac:dyDescent="0.25">
      <c r="F1065" s="268"/>
    </row>
    <row r="1066" spans="6:6" x14ac:dyDescent="0.25">
      <c r="F1066" s="268"/>
    </row>
    <row r="1067" spans="6:6" x14ac:dyDescent="0.25">
      <c r="F1067" s="268"/>
    </row>
    <row r="1068" spans="6:6" x14ac:dyDescent="0.25">
      <c r="F1068" s="268"/>
    </row>
    <row r="1069" spans="6:6" x14ac:dyDescent="0.25">
      <c r="F1069" s="268"/>
    </row>
    <row r="1070" spans="6:6" x14ac:dyDescent="0.25">
      <c r="F1070" s="268"/>
    </row>
    <row r="1071" spans="6:6" x14ac:dyDescent="0.25">
      <c r="F1071" s="268"/>
    </row>
    <row r="1072" spans="6:6" x14ac:dyDescent="0.25">
      <c r="F1072" s="268"/>
    </row>
    <row r="1073" spans="6:6" x14ac:dyDescent="0.25">
      <c r="F1073" s="268"/>
    </row>
    <row r="1074" spans="6:6" x14ac:dyDescent="0.25">
      <c r="F1074" s="268"/>
    </row>
    <row r="1075" spans="6:6" x14ac:dyDescent="0.25">
      <c r="F1075" s="268"/>
    </row>
    <row r="1076" spans="6:6" x14ac:dyDescent="0.25">
      <c r="F1076" s="268"/>
    </row>
    <row r="1077" spans="6:6" x14ac:dyDescent="0.25">
      <c r="F1077" s="268"/>
    </row>
    <row r="1078" spans="6:6" x14ac:dyDescent="0.25">
      <c r="F1078" s="268"/>
    </row>
    <row r="1079" spans="6:6" x14ac:dyDescent="0.25">
      <c r="F1079" s="268"/>
    </row>
    <row r="1080" spans="6:6" x14ac:dyDescent="0.25">
      <c r="F1080" s="268"/>
    </row>
    <row r="1081" spans="6:6" x14ac:dyDescent="0.25">
      <c r="F1081" s="268"/>
    </row>
    <row r="1082" spans="6:6" x14ac:dyDescent="0.25">
      <c r="F1082" s="268"/>
    </row>
    <row r="1083" spans="6:6" x14ac:dyDescent="0.25">
      <c r="F1083" s="268"/>
    </row>
    <row r="1084" spans="6:6" x14ac:dyDescent="0.25">
      <c r="F1084" s="268"/>
    </row>
    <row r="1085" spans="6:6" x14ac:dyDescent="0.25">
      <c r="F1085" s="268"/>
    </row>
    <row r="1086" spans="6:6" x14ac:dyDescent="0.25">
      <c r="F1086" s="268"/>
    </row>
    <row r="1087" spans="6:6" x14ac:dyDescent="0.25">
      <c r="F1087" s="268"/>
    </row>
    <row r="1088" spans="6:6" x14ac:dyDescent="0.25">
      <c r="F1088" s="268"/>
    </row>
    <row r="1089" spans="6:6" x14ac:dyDescent="0.25">
      <c r="F1089" s="268"/>
    </row>
    <row r="1090" spans="6:6" x14ac:dyDescent="0.25">
      <c r="F1090" s="268"/>
    </row>
    <row r="1091" spans="6:6" x14ac:dyDescent="0.25">
      <c r="F1091" s="268"/>
    </row>
    <row r="1092" spans="6:6" x14ac:dyDescent="0.25">
      <c r="F1092" s="268"/>
    </row>
    <row r="1093" spans="6:6" x14ac:dyDescent="0.25">
      <c r="F1093" s="268"/>
    </row>
    <row r="1094" spans="6:6" x14ac:dyDescent="0.25">
      <c r="F1094" s="268"/>
    </row>
    <row r="1095" spans="6:6" x14ac:dyDescent="0.25">
      <c r="F1095" s="268"/>
    </row>
    <row r="1096" spans="6:6" x14ac:dyDescent="0.25">
      <c r="F1096" s="268"/>
    </row>
    <row r="1097" spans="6:6" x14ac:dyDescent="0.25">
      <c r="F1097" s="268"/>
    </row>
    <row r="1098" spans="6:6" x14ac:dyDescent="0.25">
      <c r="F1098" s="268"/>
    </row>
    <row r="1099" spans="6:6" x14ac:dyDescent="0.25">
      <c r="F1099" s="268"/>
    </row>
    <row r="1100" spans="6:6" x14ac:dyDescent="0.25">
      <c r="F1100" s="268"/>
    </row>
    <row r="1101" spans="6:6" x14ac:dyDescent="0.25">
      <c r="F1101" s="268"/>
    </row>
    <row r="1102" spans="6:6" x14ac:dyDescent="0.25">
      <c r="F1102" s="268"/>
    </row>
    <row r="1103" spans="6:6" x14ac:dyDescent="0.25">
      <c r="F1103" s="268"/>
    </row>
    <row r="1104" spans="6:6" x14ac:dyDescent="0.25">
      <c r="F1104" s="268"/>
    </row>
    <row r="1105" spans="6:6" x14ac:dyDescent="0.25">
      <c r="F1105" s="268"/>
    </row>
    <row r="1106" spans="6:6" x14ac:dyDescent="0.25">
      <c r="F1106" s="268"/>
    </row>
    <row r="1107" spans="6:6" x14ac:dyDescent="0.25">
      <c r="F1107" s="268"/>
    </row>
    <row r="1108" spans="6:6" x14ac:dyDescent="0.25">
      <c r="F1108" s="268"/>
    </row>
    <row r="1109" spans="6:6" x14ac:dyDescent="0.25">
      <c r="F1109" s="268"/>
    </row>
    <row r="1110" spans="6:6" x14ac:dyDescent="0.25">
      <c r="F1110" s="268"/>
    </row>
    <row r="1111" spans="6:6" x14ac:dyDescent="0.25">
      <c r="F1111" s="268"/>
    </row>
    <row r="1112" spans="6:6" x14ac:dyDescent="0.25">
      <c r="F1112" s="268"/>
    </row>
    <row r="1113" spans="6:6" x14ac:dyDescent="0.25">
      <c r="F1113" s="268"/>
    </row>
    <row r="1114" spans="6:6" x14ac:dyDescent="0.25">
      <c r="F1114" s="268"/>
    </row>
    <row r="1115" spans="6:6" x14ac:dyDescent="0.25">
      <c r="F1115" s="268"/>
    </row>
    <row r="1116" spans="6:6" x14ac:dyDescent="0.25">
      <c r="F1116" s="268"/>
    </row>
    <row r="1117" spans="6:6" x14ac:dyDescent="0.25">
      <c r="F1117" s="268"/>
    </row>
    <row r="1118" spans="6:6" x14ac:dyDescent="0.25">
      <c r="F1118" s="268"/>
    </row>
    <row r="1119" spans="6:6" x14ac:dyDescent="0.25">
      <c r="F1119" s="268"/>
    </row>
    <row r="1120" spans="6:6" x14ac:dyDescent="0.25">
      <c r="F1120" s="268"/>
    </row>
    <row r="1121" spans="6:6" x14ac:dyDescent="0.25">
      <c r="F1121" s="268"/>
    </row>
    <row r="1122" spans="6:6" x14ac:dyDescent="0.25">
      <c r="F1122" s="268"/>
    </row>
    <row r="1123" spans="6:6" x14ac:dyDescent="0.25">
      <c r="F1123" s="268"/>
    </row>
    <row r="1124" spans="6:6" x14ac:dyDescent="0.25">
      <c r="F1124" s="268"/>
    </row>
    <row r="1125" spans="6:6" x14ac:dyDescent="0.25">
      <c r="F1125" s="268"/>
    </row>
    <row r="1126" spans="6:6" x14ac:dyDescent="0.25">
      <c r="F1126" s="268"/>
    </row>
    <row r="1127" spans="6:6" x14ac:dyDescent="0.25">
      <c r="F1127" s="268"/>
    </row>
    <row r="1128" spans="6:6" x14ac:dyDescent="0.25">
      <c r="F1128" s="268"/>
    </row>
    <row r="1129" spans="6:6" x14ac:dyDescent="0.25">
      <c r="F1129" s="268"/>
    </row>
    <row r="1130" spans="6:6" x14ac:dyDescent="0.25">
      <c r="F1130" s="268"/>
    </row>
    <row r="1131" spans="6:6" x14ac:dyDescent="0.25">
      <c r="F1131" s="268"/>
    </row>
    <row r="1132" spans="6:6" x14ac:dyDescent="0.25">
      <c r="F1132" s="268"/>
    </row>
    <row r="1133" spans="6:6" x14ac:dyDescent="0.25">
      <c r="F1133" s="268"/>
    </row>
    <row r="1134" spans="6:6" x14ac:dyDescent="0.25">
      <c r="F1134" s="268"/>
    </row>
    <row r="1135" spans="6:6" x14ac:dyDescent="0.25">
      <c r="F1135" s="268"/>
    </row>
    <row r="1136" spans="6:6" x14ac:dyDescent="0.25">
      <c r="F1136" s="268"/>
    </row>
    <row r="1137" spans="6:6" x14ac:dyDescent="0.25">
      <c r="F1137" s="268"/>
    </row>
    <row r="1138" spans="6:6" x14ac:dyDescent="0.25">
      <c r="F1138" s="268"/>
    </row>
    <row r="1139" spans="6:6" x14ac:dyDescent="0.25">
      <c r="F1139" s="268"/>
    </row>
    <row r="1140" spans="6:6" x14ac:dyDescent="0.25">
      <c r="F1140" s="268"/>
    </row>
    <row r="1141" spans="6:6" x14ac:dyDescent="0.25">
      <c r="F1141" s="268"/>
    </row>
    <row r="1142" spans="6:6" x14ac:dyDescent="0.25">
      <c r="F1142" s="268"/>
    </row>
    <row r="1143" spans="6:6" x14ac:dyDescent="0.25">
      <c r="F1143" s="268"/>
    </row>
    <row r="1144" spans="6:6" x14ac:dyDescent="0.25">
      <c r="F1144" s="268"/>
    </row>
    <row r="1145" spans="6:6" x14ac:dyDescent="0.25">
      <c r="F1145" s="268"/>
    </row>
    <row r="1146" spans="6:6" x14ac:dyDescent="0.25">
      <c r="F1146" s="268"/>
    </row>
    <row r="1147" spans="6:6" x14ac:dyDescent="0.25">
      <c r="F1147" s="268"/>
    </row>
    <row r="1148" spans="6:6" x14ac:dyDescent="0.25">
      <c r="F1148" s="268"/>
    </row>
    <row r="1149" spans="6:6" x14ac:dyDescent="0.25">
      <c r="F1149" s="268"/>
    </row>
    <row r="1150" spans="6:6" x14ac:dyDescent="0.25">
      <c r="F1150" s="268"/>
    </row>
    <row r="1151" spans="6:6" x14ac:dyDescent="0.25">
      <c r="F1151" s="268"/>
    </row>
    <row r="1152" spans="6:6" x14ac:dyDescent="0.25">
      <c r="F1152" s="268"/>
    </row>
    <row r="1153" spans="6:6" x14ac:dyDescent="0.25">
      <c r="F1153" s="268"/>
    </row>
    <row r="1154" spans="6:6" x14ac:dyDescent="0.25">
      <c r="F1154" s="268"/>
    </row>
    <row r="1155" spans="6:6" x14ac:dyDescent="0.25">
      <c r="F1155" s="268"/>
    </row>
    <row r="1156" spans="6:6" x14ac:dyDescent="0.25">
      <c r="F1156" s="268"/>
    </row>
    <row r="1157" spans="6:6" x14ac:dyDescent="0.25">
      <c r="F1157" s="268"/>
    </row>
    <row r="1158" spans="6:6" x14ac:dyDescent="0.25">
      <c r="F1158" s="268"/>
    </row>
    <row r="1159" spans="6:6" x14ac:dyDescent="0.25">
      <c r="F1159" s="268"/>
    </row>
    <row r="1160" spans="6:6" x14ac:dyDescent="0.25">
      <c r="F1160" s="268"/>
    </row>
    <row r="1161" spans="6:6" x14ac:dyDescent="0.25">
      <c r="F1161" s="268"/>
    </row>
    <row r="1162" spans="6:6" x14ac:dyDescent="0.25">
      <c r="F1162" s="268"/>
    </row>
    <row r="1163" spans="6:6" x14ac:dyDescent="0.25">
      <c r="F1163" s="268"/>
    </row>
    <row r="1164" spans="6:6" x14ac:dyDescent="0.25">
      <c r="F1164" s="268"/>
    </row>
    <row r="1165" spans="6:6" x14ac:dyDescent="0.25">
      <c r="F1165" s="268"/>
    </row>
    <row r="1166" spans="6:6" x14ac:dyDescent="0.25">
      <c r="F1166" s="268"/>
    </row>
    <row r="1167" spans="6:6" x14ac:dyDescent="0.25">
      <c r="F1167" s="268"/>
    </row>
    <row r="1168" spans="6:6" x14ac:dyDescent="0.25">
      <c r="F1168" s="268"/>
    </row>
    <row r="1169" spans="6:6" x14ac:dyDescent="0.25">
      <c r="F1169" s="268"/>
    </row>
    <row r="1170" spans="6:6" x14ac:dyDescent="0.25">
      <c r="F1170" s="268"/>
    </row>
    <row r="1171" spans="6:6" x14ac:dyDescent="0.25">
      <c r="F1171" s="268"/>
    </row>
    <row r="1172" spans="6:6" x14ac:dyDescent="0.25">
      <c r="F1172" s="268"/>
    </row>
    <row r="1173" spans="6:6" x14ac:dyDescent="0.25">
      <c r="F1173" s="268"/>
    </row>
    <row r="1174" spans="6:6" x14ac:dyDescent="0.25">
      <c r="F1174" s="268"/>
    </row>
    <row r="1175" spans="6:6" x14ac:dyDescent="0.25">
      <c r="F1175" s="268"/>
    </row>
    <row r="1176" spans="6:6" x14ac:dyDescent="0.25">
      <c r="F1176" s="268"/>
    </row>
    <row r="1177" spans="6:6" x14ac:dyDescent="0.25">
      <c r="F1177" s="268"/>
    </row>
    <row r="1178" spans="6:6" x14ac:dyDescent="0.25">
      <c r="F1178" s="268"/>
    </row>
    <row r="1179" spans="6:6" x14ac:dyDescent="0.25">
      <c r="F1179" s="268"/>
    </row>
    <row r="1180" spans="6:6" x14ac:dyDescent="0.25">
      <c r="F1180" s="268"/>
    </row>
    <row r="1181" spans="6:6" x14ac:dyDescent="0.25">
      <c r="F1181" s="268"/>
    </row>
    <row r="1182" spans="6:6" x14ac:dyDescent="0.25">
      <c r="F1182" s="268"/>
    </row>
    <row r="1183" spans="6:6" x14ac:dyDescent="0.25">
      <c r="F1183" s="268"/>
    </row>
    <row r="1184" spans="6:6" x14ac:dyDescent="0.25">
      <c r="F1184" s="268"/>
    </row>
    <row r="1185" spans="6:6" x14ac:dyDescent="0.25">
      <c r="F1185" s="268"/>
    </row>
    <row r="1186" spans="6:6" x14ac:dyDescent="0.25">
      <c r="F1186" s="268"/>
    </row>
    <row r="1187" spans="6:6" x14ac:dyDescent="0.25">
      <c r="F1187" s="268"/>
    </row>
    <row r="1188" spans="6:6" x14ac:dyDescent="0.25">
      <c r="F1188" s="268"/>
    </row>
    <row r="1189" spans="6:6" x14ac:dyDescent="0.25">
      <c r="F1189" s="268"/>
    </row>
    <row r="1190" spans="6:6" x14ac:dyDescent="0.25">
      <c r="F1190" s="268"/>
    </row>
    <row r="1191" spans="6:6" x14ac:dyDescent="0.25">
      <c r="F1191" s="268"/>
    </row>
    <row r="1192" spans="6:6" x14ac:dyDescent="0.25">
      <c r="F1192" s="268"/>
    </row>
    <row r="1193" spans="6:6" x14ac:dyDescent="0.25">
      <c r="F1193" s="268"/>
    </row>
    <row r="1194" spans="6:6" x14ac:dyDescent="0.25">
      <c r="F1194" s="268"/>
    </row>
    <row r="1195" spans="6:6" x14ac:dyDescent="0.25">
      <c r="F1195" s="268"/>
    </row>
    <row r="1196" spans="6:6" x14ac:dyDescent="0.25">
      <c r="F1196" s="268"/>
    </row>
    <row r="1197" spans="6:6" x14ac:dyDescent="0.25">
      <c r="F1197" s="268"/>
    </row>
    <row r="1198" spans="6:6" x14ac:dyDescent="0.25">
      <c r="F1198" s="268"/>
    </row>
    <row r="1199" spans="6:6" x14ac:dyDescent="0.25">
      <c r="F1199" s="268"/>
    </row>
    <row r="1200" spans="6:6" x14ac:dyDescent="0.25">
      <c r="F1200" s="268"/>
    </row>
    <row r="1201" spans="6:6" x14ac:dyDescent="0.25">
      <c r="F1201" s="268"/>
    </row>
    <row r="1202" spans="6:6" x14ac:dyDescent="0.25">
      <c r="F1202" s="268"/>
    </row>
    <row r="1203" spans="6:6" x14ac:dyDescent="0.25">
      <c r="F1203" s="268"/>
    </row>
    <row r="1204" spans="6:6" x14ac:dyDescent="0.25">
      <c r="F1204" s="268"/>
    </row>
    <row r="1205" spans="6:6" x14ac:dyDescent="0.25">
      <c r="F1205" s="268"/>
    </row>
    <row r="1206" spans="6:6" x14ac:dyDescent="0.25">
      <c r="F1206" s="268"/>
    </row>
    <row r="1207" spans="6:6" x14ac:dyDescent="0.25">
      <c r="F1207" s="268"/>
    </row>
    <row r="1208" spans="6:6" x14ac:dyDescent="0.25">
      <c r="F1208" s="268"/>
    </row>
    <row r="1209" spans="6:6" x14ac:dyDescent="0.25">
      <c r="F1209" s="268"/>
    </row>
    <row r="1210" spans="6:6" x14ac:dyDescent="0.25">
      <c r="F1210" s="268"/>
    </row>
    <row r="1211" spans="6:6" x14ac:dyDescent="0.25">
      <c r="F1211" s="268"/>
    </row>
    <row r="1212" spans="6:6" x14ac:dyDescent="0.25">
      <c r="F1212" s="268"/>
    </row>
    <row r="1213" spans="6:6" x14ac:dyDescent="0.25">
      <c r="F1213" s="268"/>
    </row>
    <row r="1214" spans="6:6" x14ac:dyDescent="0.25">
      <c r="F1214" s="268"/>
    </row>
    <row r="1215" spans="6:6" x14ac:dyDescent="0.25">
      <c r="F1215" s="268"/>
    </row>
    <row r="1216" spans="6:6" x14ac:dyDescent="0.25">
      <c r="F1216" s="268"/>
    </row>
    <row r="1217" spans="6:6" x14ac:dyDescent="0.25">
      <c r="F1217" s="268"/>
    </row>
    <row r="1218" spans="6:6" x14ac:dyDescent="0.25">
      <c r="F1218" s="268"/>
    </row>
    <row r="1219" spans="6:6" x14ac:dyDescent="0.25">
      <c r="F1219" s="268"/>
    </row>
    <row r="1220" spans="6:6" x14ac:dyDescent="0.25">
      <c r="F1220" s="268"/>
    </row>
    <row r="1221" spans="6:6" x14ac:dyDescent="0.25">
      <c r="F1221" s="268"/>
    </row>
    <row r="1222" spans="6:6" x14ac:dyDescent="0.25">
      <c r="F1222" s="268"/>
    </row>
    <row r="1223" spans="6:6" x14ac:dyDescent="0.25">
      <c r="F1223" s="268"/>
    </row>
    <row r="1224" spans="6:6" x14ac:dyDescent="0.25">
      <c r="F1224" s="268"/>
    </row>
    <row r="1225" spans="6:6" x14ac:dyDescent="0.25">
      <c r="F1225" s="268"/>
    </row>
    <row r="1226" spans="6:6" x14ac:dyDescent="0.25">
      <c r="F1226" s="268"/>
    </row>
    <row r="1227" spans="6:6" x14ac:dyDescent="0.25">
      <c r="F1227" s="268"/>
    </row>
    <row r="1228" spans="6:6" x14ac:dyDescent="0.25">
      <c r="F1228" s="268"/>
    </row>
    <row r="1229" spans="6:6" x14ac:dyDescent="0.25">
      <c r="F1229" s="268"/>
    </row>
    <row r="1230" spans="6:6" x14ac:dyDescent="0.25">
      <c r="F1230" s="268"/>
    </row>
    <row r="1231" spans="6:6" x14ac:dyDescent="0.25">
      <c r="F1231" s="268"/>
    </row>
    <row r="1232" spans="6:6" x14ac:dyDescent="0.25">
      <c r="F1232" s="268"/>
    </row>
    <row r="1233" spans="6:6" x14ac:dyDescent="0.25">
      <c r="F1233" s="268"/>
    </row>
    <row r="1234" spans="6:6" x14ac:dyDescent="0.25">
      <c r="F1234" s="268"/>
    </row>
    <row r="1235" spans="6:6" x14ac:dyDescent="0.25">
      <c r="F1235" s="268"/>
    </row>
    <row r="1236" spans="6:6" x14ac:dyDescent="0.25">
      <c r="F1236" s="268"/>
    </row>
    <row r="1237" spans="6:6" x14ac:dyDescent="0.25">
      <c r="F1237" s="268"/>
    </row>
    <row r="1238" spans="6:6" x14ac:dyDescent="0.25">
      <c r="F1238" s="268"/>
    </row>
    <row r="1239" spans="6:6" x14ac:dyDescent="0.25">
      <c r="F1239" s="268"/>
    </row>
    <row r="1240" spans="6:6" x14ac:dyDescent="0.25">
      <c r="F1240" s="268"/>
    </row>
    <row r="1241" spans="6:6" x14ac:dyDescent="0.25">
      <c r="F1241" s="268"/>
    </row>
    <row r="1242" spans="6:6" x14ac:dyDescent="0.25">
      <c r="F1242" s="268"/>
    </row>
    <row r="1243" spans="6:6" x14ac:dyDescent="0.25">
      <c r="F1243" s="268"/>
    </row>
    <row r="1244" spans="6:6" x14ac:dyDescent="0.25">
      <c r="F1244" s="268"/>
    </row>
    <row r="1245" spans="6:6" x14ac:dyDescent="0.25">
      <c r="F1245" s="268"/>
    </row>
    <row r="1246" spans="6:6" x14ac:dyDescent="0.25">
      <c r="F1246" s="268"/>
    </row>
    <row r="1247" spans="6:6" x14ac:dyDescent="0.25">
      <c r="F1247" s="268"/>
    </row>
    <row r="1248" spans="6:6" x14ac:dyDescent="0.25">
      <c r="F1248" s="268"/>
    </row>
    <row r="1249" spans="6:6" x14ac:dyDescent="0.25">
      <c r="F1249" s="268"/>
    </row>
    <row r="1250" spans="6:6" x14ac:dyDescent="0.25">
      <c r="F1250" s="268"/>
    </row>
    <row r="1251" spans="6:6" x14ac:dyDescent="0.25">
      <c r="F1251" s="268"/>
    </row>
    <row r="1252" spans="6:6" x14ac:dyDescent="0.25">
      <c r="F1252" s="268"/>
    </row>
    <row r="1253" spans="6:6" x14ac:dyDescent="0.25">
      <c r="F1253" s="268"/>
    </row>
    <row r="1254" spans="6:6" x14ac:dyDescent="0.25">
      <c r="F1254" s="268"/>
    </row>
    <row r="1255" spans="6:6" x14ac:dyDescent="0.25">
      <c r="F1255" s="268"/>
    </row>
    <row r="1256" spans="6:6" x14ac:dyDescent="0.25">
      <c r="F1256" s="268"/>
    </row>
    <row r="1257" spans="6:6" x14ac:dyDescent="0.25">
      <c r="F1257" s="268"/>
    </row>
    <row r="1258" spans="6:6" x14ac:dyDescent="0.25">
      <c r="F1258" s="268"/>
    </row>
    <row r="1259" spans="6:6" x14ac:dyDescent="0.25">
      <c r="F1259" s="268"/>
    </row>
    <row r="1260" spans="6:6" x14ac:dyDescent="0.25">
      <c r="F1260" s="268"/>
    </row>
    <row r="1261" spans="6:6" x14ac:dyDescent="0.25">
      <c r="F1261" s="268"/>
    </row>
    <row r="1262" spans="6:6" x14ac:dyDescent="0.25">
      <c r="F1262" s="268"/>
    </row>
    <row r="1263" spans="6:6" x14ac:dyDescent="0.25">
      <c r="F1263" s="268"/>
    </row>
    <row r="1264" spans="6:6" x14ac:dyDescent="0.25">
      <c r="F1264" s="268"/>
    </row>
    <row r="1265" spans="6:6" x14ac:dyDescent="0.25">
      <c r="F1265" s="268"/>
    </row>
    <row r="1266" spans="6:6" x14ac:dyDescent="0.25">
      <c r="F1266" s="268"/>
    </row>
    <row r="1267" spans="6:6" x14ac:dyDescent="0.25">
      <c r="F1267" s="268"/>
    </row>
    <row r="1268" spans="6:6" x14ac:dyDescent="0.25">
      <c r="F1268" s="268"/>
    </row>
    <row r="1269" spans="6:6" x14ac:dyDescent="0.25">
      <c r="F1269" s="268"/>
    </row>
    <row r="1270" spans="6:6" x14ac:dyDescent="0.25">
      <c r="F1270" s="268"/>
    </row>
    <row r="1271" spans="6:6" x14ac:dyDescent="0.25">
      <c r="F1271" s="268"/>
    </row>
    <row r="1272" spans="6:6" x14ac:dyDescent="0.25">
      <c r="F1272" s="268"/>
    </row>
    <row r="1273" spans="6:6" x14ac:dyDescent="0.25">
      <c r="F1273" s="268"/>
    </row>
    <row r="1274" spans="6:6" x14ac:dyDescent="0.25">
      <c r="F1274" s="268"/>
    </row>
    <row r="1275" spans="6:6" x14ac:dyDescent="0.25">
      <c r="F1275" s="268"/>
    </row>
    <row r="1276" spans="6:6" x14ac:dyDescent="0.25">
      <c r="F1276" s="268"/>
    </row>
    <row r="1277" spans="6:6" x14ac:dyDescent="0.25">
      <c r="F1277" s="268"/>
    </row>
    <row r="1278" spans="6:6" x14ac:dyDescent="0.25">
      <c r="F1278" s="268"/>
    </row>
    <row r="1279" spans="6:6" x14ac:dyDescent="0.25">
      <c r="F1279" s="268"/>
    </row>
    <row r="1280" spans="6:6" x14ac:dyDescent="0.25">
      <c r="F1280" s="268"/>
    </row>
    <row r="1281" spans="6:6" x14ac:dyDescent="0.25">
      <c r="F1281" s="268"/>
    </row>
    <row r="1282" spans="6:6" x14ac:dyDescent="0.25">
      <c r="F1282" s="268"/>
    </row>
    <row r="1283" spans="6:6" x14ac:dyDescent="0.25">
      <c r="F1283" s="268"/>
    </row>
    <row r="1284" spans="6:6" x14ac:dyDescent="0.25">
      <c r="F1284" s="268"/>
    </row>
    <row r="1285" spans="6:6" x14ac:dyDescent="0.25">
      <c r="F1285" s="268"/>
    </row>
    <row r="1286" spans="6:6" x14ac:dyDescent="0.25">
      <c r="F1286" s="268"/>
    </row>
    <row r="1287" spans="6:6" x14ac:dyDescent="0.25">
      <c r="F1287" s="268"/>
    </row>
    <row r="1288" spans="6:6" x14ac:dyDescent="0.25">
      <c r="F1288" s="268"/>
    </row>
    <row r="1289" spans="6:6" x14ac:dyDescent="0.25">
      <c r="F1289" s="268"/>
    </row>
    <row r="1290" spans="6:6" x14ac:dyDescent="0.25">
      <c r="F1290" s="268"/>
    </row>
    <row r="1291" spans="6:6" x14ac:dyDescent="0.25">
      <c r="F1291" s="268"/>
    </row>
    <row r="1292" spans="6:6" x14ac:dyDescent="0.25">
      <c r="F1292" s="268"/>
    </row>
    <row r="1293" spans="6:6" x14ac:dyDescent="0.25">
      <c r="F1293" s="268"/>
    </row>
    <row r="1294" spans="6:6" x14ac:dyDescent="0.25">
      <c r="F1294" s="268"/>
    </row>
    <row r="1295" spans="6:6" x14ac:dyDescent="0.25">
      <c r="F1295" s="268"/>
    </row>
    <row r="1296" spans="6:6" x14ac:dyDescent="0.25">
      <c r="F1296" s="268"/>
    </row>
    <row r="1297" spans="6:6" x14ac:dyDescent="0.25">
      <c r="F1297" s="268"/>
    </row>
    <row r="1298" spans="6:6" x14ac:dyDescent="0.25">
      <c r="F1298" s="268"/>
    </row>
    <row r="1299" spans="6:6" x14ac:dyDescent="0.25">
      <c r="F1299" s="268"/>
    </row>
    <row r="1300" spans="6:6" x14ac:dyDescent="0.25">
      <c r="F1300" s="268"/>
    </row>
    <row r="1301" spans="6:6" x14ac:dyDescent="0.25">
      <c r="F1301" s="268"/>
    </row>
    <row r="1302" spans="6:6" x14ac:dyDescent="0.25">
      <c r="F1302" s="268"/>
    </row>
    <row r="1303" spans="6:6" x14ac:dyDescent="0.25">
      <c r="F1303" s="268"/>
    </row>
    <row r="1304" spans="6:6" x14ac:dyDescent="0.25">
      <c r="F1304" s="268"/>
    </row>
    <row r="1305" spans="6:6" x14ac:dyDescent="0.25">
      <c r="F1305" s="268"/>
    </row>
    <row r="1306" spans="6:6" x14ac:dyDescent="0.25">
      <c r="F1306" s="268"/>
    </row>
    <row r="1307" spans="6:6" x14ac:dyDescent="0.25">
      <c r="F1307" s="268"/>
    </row>
    <row r="1308" spans="6:6" x14ac:dyDescent="0.25">
      <c r="F1308" s="268"/>
    </row>
    <row r="1309" spans="6:6" x14ac:dyDescent="0.25">
      <c r="F1309" s="268"/>
    </row>
    <row r="1310" spans="6:6" x14ac:dyDescent="0.25">
      <c r="F1310" s="268"/>
    </row>
    <row r="1311" spans="6:6" x14ac:dyDescent="0.25">
      <c r="F1311" s="268"/>
    </row>
    <row r="1312" spans="6:6" x14ac:dyDescent="0.25">
      <c r="F1312" s="268"/>
    </row>
    <row r="1313" spans="6:6" x14ac:dyDescent="0.25">
      <c r="F1313" s="268"/>
    </row>
    <row r="1314" spans="6:6" x14ac:dyDescent="0.25">
      <c r="F1314" s="268"/>
    </row>
    <row r="1315" spans="6:6" x14ac:dyDescent="0.25">
      <c r="F1315" s="268"/>
    </row>
    <row r="1316" spans="6:6" x14ac:dyDescent="0.25">
      <c r="F1316" s="268"/>
    </row>
    <row r="1317" spans="6:6" x14ac:dyDescent="0.25">
      <c r="F1317" s="268"/>
    </row>
    <row r="1318" spans="6:6" x14ac:dyDescent="0.25">
      <c r="F1318" s="268"/>
    </row>
    <row r="1319" spans="6:6" x14ac:dyDescent="0.25">
      <c r="F1319" s="268"/>
    </row>
    <row r="1320" spans="6:6" x14ac:dyDescent="0.25">
      <c r="F1320" s="268"/>
    </row>
    <row r="1321" spans="6:6" x14ac:dyDescent="0.25">
      <c r="F1321" s="268"/>
    </row>
    <row r="1322" spans="6:6" x14ac:dyDescent="0.25">
      <c r="F1322" s="268"/>
    </row>
    <row r="1323" spans="6:6" x14ac:dyDescent="0.25">
      <c r="F1323" s="268"/>
    </row>
    <row r="1324" spans="6:6" x14ac:dyDescent="0.25">
      <c r="F1324" s="268"/>
    </row>
    <row r="1325" spans="6:6" x14ac:dyDescent="0.25">
      <c r="F1325" s="268"/>
    </row>
    <row r="1326" spans="6:6" x14ac:dyDescent="0.25">
      <c r="F1326" s="268"/>
    </row>
    <row r="1327" spans="6:6" x14ac:dyDescent="0.25">
      <c r="F1327" s="268"/>
    </row>
    <row r="1328" spans="6:6" x14ac:dyDescent="0.25">
      <c r="F1328" s="268"/>
    </row>
    <row r="1329" spans="6:6" x14ac:dyDescent="0.25">
      <c r="F1329" s="268"/>
    </row>
    <row r="1330" spans="6:6" x14ac:dyDescent="0.25">
      <c r="F1330" s="268"/>
    </row>
    <row r="1331" spans="6:6" x14ac:dyDescent="0.25">
      <c r="F1331" s="268"/>
    </row>
    <row r="1332" spans="6:6" x14ac:dyDescent="0.25">
      <c r="F1332" s="268"/>
    </row>
    <row r="1333" spans="6:6" x14ac:dyDescent="0.25">
      <c r="F1333" s="268"/>
    </row>
    <row r="1334" spans="6:6" x14ac:dyDescent="0.25">
      <c r="F1334" s="268"/>
    </row>
    <row r="1335" spans="6:6" x14ac:dyDescent="0.25">
      <c r="F1335" s="268"/>
    </row>
    <row r="1336" spans="6:6" x14ac:dyDescent="0.25">
      <c r="F1336" s="268"/>
    </row>
    <row r="1337" spans="6:6" x14ac:dyDescent="0.25">
      <c r="F1337" s="268"/>
    </row>
    <row r="1338" spans="6:6" x14ac:dyDescent="0.25">
      <c r="F1338" s="268"/>
    </row>
    <row r="1339" spans="6:6" x14ac:dyDescent="0.25">
      <c r="F1339" s="268"/>
    </row>
    <row r="1340" spans="6:6" x14ac:dyDescent="0.25">
      <c r="F1340" s="268"/>
    </row>
    <row r="1341" spans="6:6" x14ac:dyDescent="0.25">
      <c r="F1341" s="268"/>
    </row>
    <row r="1342" spans="6:6" x14ac:dyDescent="0.25">
      <c r="F1342" s="268"/>
    </row>
    <row r="1343" spans="6:6" x14ac:dyDescent="0.25">
      <c r="F1343" s="268"/>
    </row>
    <row r="1344" spans="6:6" x14ac:dyDescent="0.25">
      <c r="F1344" s="268"/>
    </row>
    <row r="1345" spans="6:6" x14ac:dyDescent="0.25">
      <c r="F1345" s="268"/>
    </row>
    <row r="1346" spans="6:6" x14ac:dyDescent="0.25">
      <c r="F1346" s="268"/>
    </row>
    <row r="1347" spans="6:6" x14ac:dyDescent="0.25">
      <c r="F1347" s="268"/>
    </row>
    <row r="1348" spans="6:6" x14ac:dyDescent="0.25">
      <c r="F1348" s="268"/>
    </row>
    <row r="1349" spans="6:6" x14ac:dyDescent="0.25">
      <c r="F1349" s="268"/>
    </row>
    <row r="1350" spans="6:6" x14ac:dyDescent="0.25">
      <c r="F1350" s="268"/>
    </row>
    <row r="1351" spans="6:6" x14ac:dyDescent="0.25">
      <c r="F1351" s="268"/>
    </row>
    <row r="1352" spans="6:6" x14ac:dyDescent="0.25">
      <c r="F1352" s="268"/>
    </row>
    <row r="1353" spans="6:6" x14ac:dyDescent="0.25">
      <c r="F1353" s="268"/>
    </row>
    <row r="1354" spans="6:6" x14ac:dyDescent="0.25">
      <c r="F1354" s="268"/>
    </row>
    <row r="1355" spans="6:6" x14ac:dyDescent="0.25">
      <c r="F1355" s="268"/>
    </row>
    <row r="1356" spans="6:6" x14ac:dyDescent="0.25">
      <c r="F1356" s="268"/>
    </row>
    <row r="1357" spans="6:6" x14ac:dyDescent="0.25">
      <c r="F1357" s="268"/>
    </row>
    <row r="1358" spans="6:6" x14ac:dyDescent="0.25">
      <c r="F1358" s="268"/>
    </row>
    <row r="1359" spans="6:6" x14ac:dyDescent="0.25">
      <c r="F1359" s="268"/>
    </row>
    <row r="1360" spans="6:6" x14ac:dyDescent="0.25">
      <c r="F1360" s="268"/>
    </row>
    <row r="1361" spans="6:6" x14ac:dyDescent="0.25">
      <c r="F1361" s="268"/>
    </row>
    <row r="1362" spans="6:6" x14ac:dyDescent="0.25">
      <c r="F1362" s="268"/>
    </row>
    <row r="1363" spans="6:6" x14ac:dyDescent="0.25">
      <c r="F1363" s="268"/>
    </row>
    <row r="1364" spans="6:6" x14ac:dyDescent="0.25">
      <c r="F1364" s="268"/>
    </row>
    <row r="1365" spans="6:6" x14ac:dyDescent="0.25">
      <c r="F1365" s="268"/>
    </row>
    <row r="1366" spans="6:6" x14ac:dyDescent="0.25">
      <c r="F1366" s="268"/>
    </row>
    <row r="1367" spans="6:6" x14ac:dyDescent="0.25">
      <c r="F1367" s="268"/>
    </row>
    <row r="1368" spans="6:6" x14ac:dyDescent="0.25">
      <c r="F1368" s="268"/>
    </row>
    <row r="1369" spans="6:6" x14ac:dyDescent="0.25">
      <c r="F1369" s="268"/>
    </row>
    <row r="1370" spans="6:6" x14ac:dyDescent="0.25">
      <c r="F1370" s="268"/>
    </row>
    <row r="1371" spans="6:6" x14ac:dyDescent="0.25">
      <c r="F1371" s="268"/>
    </row>
    <row r="1372" spans="6:6" x14ac:dyDescent="0.25">
      <c r="F1372" s="268"/>
    </row>
    <row r="1373" spans="6:6" x14ac:dyDescent="0.25">
      <c r="F1373" s="268"/>
    </row>
    <row r="1374" spans="6:6" x14ac:dyDescent="0.25">
      <c r="F1374" s="268"/>
    </row>
    <row r="1375" spans="6:6" x14ac:dyDescent="0.25">
      <c r="F1375" s="268"/>
    </row>
    <row r="1376" spans="6:6" x14ac:dyDescent="0.25">
      <c r="F1376" s="268"/>
    </row>
    <row r="1377" spans="6:6" x14ac:dyDescent="0.25">
      <c r="F1377" s="268"/>
    </row>
    <row r="1378" spans="6:6" x14ac:dyDescent="0.25">
      <c r="F1378" s="268"/>
    </row>
    <row r="1379" spans="6:6" x14ac:dyDescent="0.25">
      <c r="F1379" s="268"/>
    </row>
    <row r="1380" spans="6:6" x14ac:dyDescent="0.25">
      <c r="F1380" s="268"/>
    </row>
    <row r="1381" spans="6:6" x14ac:dyDescent="0.25">
      <c r="F1381" s="268"/>
    </row>
    <row r="1382" spans="6:6" x14ac:dyDescent="0.25">
      <c r="F1382" s="268"/>
    </row>
    <row r="1383" spans="6:6" x14ac:dyDescent="0.25">
      <c r="F1383" s="268"/>
    </row>
    <row r="1384" spans="6:6" x14ac:dyDescent="0.25">
      <c r="F1384" s="268"/>
    </row>
    <row r="1385" spans="6:6" x14ac:dyDescent="0.25">
      <c r="F1385" s="268"/>
    </row>
    <row r="1386" spans="6:6" x14ac:dyDescent="0.25">
      <c r="F1386" s="268"/>
    </row>
    <row r="1387" spans="6:6" x14ac:dyDescent="0.25">
      <c r="F1387" s="268"/>
    </row>
    <row r="1388" spans="6:6" x14ac:dyDescent="0.25">
      <c r="F1388" s="268"/>
    </row>
    <row r="1389" spans="6:6" x14ac:dyDescent="0.25">
      <c r="F1389" s="268"/>
    </row>
    <row r="1390" spans="6:6" x14ac:dyDescent="0.25">
      <c r="F1390" s="268"/>
    </row>
    <row r="1391" spans="6:6" x14ac:dyDescent="0.25">
      <c r="F1391" s="268"/>
    </row>
    <row r="1392" spans="6:6" x14ac:dyDescent="0.25">
      <c r="F1392" s="268"/>
    </row>
    <row r="1393" spans="6:6" x14ac:dyDescent="0.25">
      <c r="F1393" s="268"/>
    </row>
    <row r="1394" spans="6:6" x14ac:dyDescent="0.25">
      <c r="F1394" s="268"/>
    </row>
    <row r="1395" spans="6:6" x14ac:dyDescent="0.25">
      <c r="F1395" s="268"/>
    </row>
    <row r="1396" spans="6:6" x14ac:dyDescent="0.25">
      <c r="F1396" s="268"/>
    </row>
    <row r="1397" spans="6:6" x14ac:dyDescent="0.25">
      <c r="F1397" s="268"/>
    </row>
    <row r="1398" spans="6:6" x14ac:dyDescent="0.25">
      <c r="F1398" s="268"/>
    </row>
    <row r="1399" spans="6:6" x14ac:dyDescent="0.25">
      <c r="F1399" s="268"/>
    </row>
    <row r="1400" spans="6:6" x14ac:dyDescent="0.25">
      <c r="F1400" s="268"/>
    </row>
    <row r="1401" spans="6:6" x14ac:dyDescent="0.25">
      <c r="F1401" s="268"/>
    </row>
    <row r="1402" spans="6:6" x14ac:dyDescent="0.25">
      <c r="F1402" s="268"/>
    </row>
    <row r="1403" spans="6:6" x14ac:dyDescent="0.25">
      <c r="F1403" s="268"/>
    </row>
    <row r="1404" spans="6:6" x14ac:dyDescent="0.25">
      <c r="F1404" s="268"/>
    </row>
    <row r="1405" spans="6:6" x14ac:dyDescent="0.25">
      <c r="F1405" s="268"/>
    </row>
    <row r="1406" spans="6:6" x14ac:dyDescent="0.25">
      <c r="F1406" s="268"/>
    </row>
    <row r="1407" spans="6:6" x14ac:dyDescent="0.25">
      <c r="F1407" s="268"/>
    </row>
    <row r="1408" spans="6:6" x14ac:dyDescent="0.25">
      <c r="F1408" s="268"/>
    </row>
    <row r="1409" spans="6:6" x14ac:dyDescent="0.25">
      <c r="F1409" s="268"/>
    </row>
    <row r="1410" spans="6:6" x14ac:dyDescent="0.25">
      <c r="F1410" s="268"/>
    </row>
    <row r="1411" spans="6:6" x14ac:dyDescent="0.25">
      <c r="F1411" s="268"/>
    </row>
    <row r="1412" spans="6:6" x14ac:dyDescent="0.25">
      <c r="F1412" s="268"/>
    </row>
    <row r="1413" spans="6:6" x14ac:dyDescent="0.25">
      <c r="F1413" s="268"/>
    </row>
    <row r="1414" spans="6:6" x14ac:dyDescent="0.25">
      <c r="F1414" s="268"/>
    </row>
    <row r="1415" spans="6:6" x14ac:dyDescent="0.25">
      <c r="F1415" s="268"/>
    </row>
    <row r="1416" spans="6:6" x14ac:dyDescent="0.25">
      <c r="F1416" s="268"/>
    </row>
    <row r="1417" spans="6:6" x14ac:dyDescent="0.25">
      <c r="F1417" s="268"/>
    </row>
    <row r="1418" spans="6:6" x14ac:dyDescent="0.25">
      <c r="F1418" s="268"/>
    </row>
    <row r="1419" spans="6:6" x14ac:dyDescent="0.25">
      <c r="F1419" s="268"/>
    </row>
    <row r="1420" spans="6:6" x14ac:dyDescent="0.25">
      <c r="F1420" s="268"/>
    </row>
    <row r="1421" spans="6:6" x14ac:dyDescent="0.25">
      <c r="F1421" s="268"/>
    </row>
    <row r="1422" spans="6:6" x14ac:dyDescent="0.25">
      <c r="F1422" s="268"/>
    </row>
    <row r="1423" spans="6:6" x14ac:dyDescent="0.25">
      <c r="F1423" s="268"/>
    </row>
    <row r="1424" spans="6:6" x14ac:dyDescent="0.25">
      <c r="F1424" s="268"/>
    </row>
    <row r="1425" spans="6:6" x14ac:dyDescent="0.25">
      <c r="F1425" s="268"/>
    </row>
    <row r="1426" spans="6:6" x14ac:dyDescent="0.25">
      <c r="F1426" s="268"/>
    </row>
    <row r="1427" spans="6:6" x14ac:dyDescent="0.25">
      <c r="F1427" s="268"/>
    </row>
    <row r="1428" spans="6:6" x14ac:dyDescent="0.25">
      <c r="F1428" s="268"/>
    </row>
    <row r="1429" spans="6:6" x14ac:dyDescent="0.25">
      <c r="F1429" s="268"/>
    </row>
    <row r="1430" spans="6:6" x14ac:dyDescent="0.25">
      <c r="F1430" s="268"/>
    </row>
    <row r="1431" spans="6:6" x14ac:dyDescent="0.25">
      <c r="F1431" s="268"/>
    </row>
    <row r="1432" spans="6:6" x14ac:dyDescent="0.25">
      <c r="F1432" s="268"/>
    </row>
    <row r="1433" spans="6:6" x14ac:dyDescent="0.25">
      <c r="F1433" s="268"/>
    </row>
    <row r="1434" spans="6:6" x14ac:dyDescent="0.25">
      <c r="F1434" s="268"/>
    </row>
    <row r="1435" spans="6:6" x14ac:dyDescent="0.25">
      <c r="F1435" s="268"/>
    </row>
    <row r="1436" spans="6:6" x14ac:dyDescent="0.25">
      <c r="F1436" s="268"/>
    </row>
    <row r="1437" spans="6:6" x14ac:dyDescent="0.25">
      <c r="F1437" s="268"/>
    </row>
    <row r="1438" spans="6:6" x14ac:dyDescent="0.25">
      <c r="F1438" s="268"/>
    </row>
    <row r="1439" spans="6:6" x14ac:dyDescent="0.25">
      <c r="F1439" s="268"/>
    </row>
    <row r="1440" spans="6:6" x14ac:dyDescent="0.25">
      <c r="F1440" s="268"/>
    </row>
    <row r="1441" spans="6:6" x14ac:dyDescent="0.25">
      <c r="F1441" s="268"/>
    </row>
    <row r="1442" spans="6:6" x14ac:dyDescent="0.25">
      <c r="F1442" s="268"/>
    </row>
    <row r="1443" spans="6:6" x14ac:dyDescent="0.25">
      <c r="F1443" s="268"/>
    </row>
    <row r="1444" spans="6:6" x14ac:dyDescent="0.25">
      <c r="F1444" s="268"/>
    </row>
    <row r="1445" spans="6:6" x14ac:dyDescent="0.25">
      <c r="F1445" s="268"/>
    </row>
    <row r="1446" spans="6:6" x14ac:dyDescent="0.25">
      <c r="F1446" s="268"/>
    </row>
    <row r="1447" spans="6:6" x14ac:dyDescent="0.25">
      <c r="F1447" s="268"/>
    </row>
    <row r="1448" spans="6:6" x14ac:dyDescent="0.25">
      <c r="F1448" s="268"/>
    </row>
    <row r="1449" spans="6:6" x14ac:dyDescent="0.25">
      <c r="F1449" s="268"/>
    </row>
    <row r="1450" spans="6:6" x14ac:dyDescent="0.25">
      <c r="F1450" s="268"/>
    </row>
    <row r="1451" spans="6:6" x14ac:dyDescent="0.25">
      <c r="F1451" s="268"/>
    </row>
    <row r="1452" spans="6:6" x14ac:dyDescent="0.25">
      <c r="F1452" s="268"/>
    </row>
    <row r="1453" spans="6:6" x14ac:dyDescent="0.25">
      <c r="F1453" s="268"/>
    </row>
    <row r="1454" spans="6:6" x14ac:dyDescent="0.25">
      <c r="F1454" s="268"/>
    </row>
    <row r="1455" spans="6:6" x14ac:dyDescent="0.25">
      <c r="F1455" s="268"/>
    </row>
    <row r="1456" spans="6:6" x14ac:dyDescent="0.25">
      <c r="F1456" s="268"/>
    </row>
    <row r="1457" spans="6:6" x14ac:dyDescent="0.25">
      <c r="F1457" s="268"/>
    </row>
    <row r="1458" spans="6:6" x14ac:dyDescent="0.25">
      <c r="F1458" s="268"/>
    </row>
    <row r="1459" spans="6:6" x14ac:dyDescent="0.25">
      <c r="F1459" s="268"/>
    </row>
    <row r="1460" spans="6:6" x14ac:dyDescent="0.25">
      <c r="F1460" s="268"/>
    </row>
    <row r="1461" spans="6:6" x14ac:dyDescent="0.25">
      <c r="F1461" s="268"/>
    </row>
    <row r="1462" spans="6:6" x14ac:dyDescent="0.25">
      <c r="F1462" s="268"/>
    </row>
    <row r="1463" spans="6:6" x14ac:dyDescent="0.25">
      <c r="F1463" s="268"/>
    </row>
    <row r="1464" spans="6:6" x14ac:dyDescent="0.25">
      <c r="F1464" s="268"/>
    </row>
    <row r="1465" spans="6:6" x14ac:dyDescent="0.25">
      <c r="F1465" s="268"/>
    </row>
    <row r="1466" spans="6:6" x14ac:dyDescent="0.25">
      <c r="F1466" s="268"/>
    </row>
    <row r="1467" spans="6:6" x14ac:dyDescent="0.25">
      <c r="F1467" s="268"/>
    </row>
    <row r="1468" spans="6:6" x14ac:dyDescent="0.25">
      <c r="F1468" s="268"/>
    </row>
    <row r="1469" spans="6:6" x14ac:dyDescent="0.25">
      <c r="F1469" s="268"/>
    </row>
    <row r="1470" spans="6:6" x14ac:dyDescent="0.25">
      <c r="F1470" s="268"/>
    </row>
    <row r="1471" spans="6:6" x14ac:dyDescent="0.25">
      <c r="F1471" s="268"/>
    </row>
    <row r="1472" spans="6:6" x14ac:dyDescent="0.25">
      <c r="F1472" s="268"/>
    </row>
    <row r="1473" spans="6:6" x14ac:dyDescent="0.25">
      <c r="F1473" s="268"/>
    </row>
    <row r="1474" spans="6:6" x14ac:dyDescent="0.25">
      <c r="F1474" s="268"/>
    </row>
    <row r="1475" spans="6:6" x14ac:dyDescent="0.25">
      <c r="F1475" s="268"/>
    </row>
    <row r="1476" spans="6:6" x14ac:dyDescent="0.25">
      <c r="F1476" s="268"/>
    </row>
    <row r="1477" spans="6:6" x14ac:dyDescent="0.25">
      <c r="F1477" s="268"/>
    </row>
    <row r="1478" spans="6:6" x14ac:dyDescent="0.25">
      <c r="F1478" s="268"/>
    </row>
    <row r="1479" spans="6:6" x14ac:dyDescent="0.25">
      <c r="F1479" s="268"/>
    </row>
    <row r="1480" spans="6:6" x14ac:dyDescent="0.25">
      <c r="F1480" s="268"/>
    </row>
    <row r="1481" spans="6:6" x14ac:dyDescent="0.25">
      <c r="F1481" s="268"/>
    </row>
    <row r="1482" spans="6:6" x14ac:dyDescent="0.25">
      <c r="F1482" s="268"/>
    </row>
    <row r="1483" spans="6:6" x14ac:dyDescent="0.25">
      <c r="F1483" s="268"/>
    </row>
    <row r="1484" spans="6:6" x14ac:dyDescent="0.25">
      <c r="F1484" s="268"/>
    </row>
    <row r="1485" spans="6:6" x14ac:dyDescent="0.25">
      <c r="F1485" s="268"/>
    </row>
    <row r="1486" spans="6:6" x14ac:dyDescent="0.25">
      <c r="F1486" s="268"/>
    </row>
    <row r="1487" spans="6:6" x14ac:dyDescent="0.25">
      <c r="F1487" s="268"/>
    </row>
    <row r="1488" spans="6:6" x14ac:dyDescent="0.25">
      <c r="F1488" s="268"/>
    </row>
    <row r="1489" spans="6:6" x14ac:dyDescent="0.25">
      <c r="F1489" s="268"/>
    </row>
    <row r="1490" spans="6:6" x14ac:dyDescent="0.25">
      <c r="F1490" s="268"/>
    </row>
    <row r="1491" spans="6:6" x14ac:dyDescent="0.25">
      <c r="F1491" s="268"/>
    </row>
    <row r="1492" spans="6:6" x14ac:dyDescent="0.25">
      <c r="F1492" s="268"/>
    </row>
    <row r="1493" spans="6:6" x14ac:dyDescent="0.25">
      <c r="F1493" s="268"/>
    </row>
    <row r="1494" spans="6:6" x14ac:dyDescent="0.25">
      <c r="F1494" s="268"/>
    </row>
    <row r="1495" spans="6:6" x14ac:dyDescent="0.25">
      <c r="F1495" s="268"/>
    </row>
    <row r="1496" spans="6:6" x14ac:dyDescent="0.25">
      <c r="F1496" s="268"/>
    </row>
    <row r="1497" spans="6:6" x14ac:dyDescent="0.25">
      <c r="F1497" s="268"/>
    </row>
    <row r="1498" spans="6:6" x14ac:dyDescent="0.25">
      <c r="F1498" s="268"/>
    </row>
    <row r="1499" spans="6:6" x14ac:dyDescent="0.25">
      <c r="F1499" s="268"/>
    </row>
    <row r="1500" spans="6:6" x14ac:dyDescent="0.25">
      <c r="F1500" s="268"/>
    </row>
    <row r="1501" spans="6:6" x14ac:dyDescent="0.25">
      <c r="F1501" s="268"/>
    </row>
    <row r="1502" spans="6:6" x14ac:dyDescent="0.25">
      <c r="F1502" s="268"/>
    </row>
    <row r="1503" spans="6:6" x14ac:dyDescent="0.25">
      <c r="F1503" s="268"/>
    </row>
    <row r="1504" spans="6:6" x14ac:dyDescent="0.25">
      <c r="F1504" s="268"/>
    </row>
    <row r="1505" spans="6:6" x14ac:dyDescent="0.25">
      <c r="F1505" s="268"/>
    </row>
    <row r="1506" spans="6:6" x14ac:dyDescent="0.25">
      <c r="F1506" s="268"/>
    </row>
    <row r="1507" spans="6:6" x14ac:dyDescent="0.25">
      <c r="F1507" s="268"/>
    </row>
    <row r="1508" spans="6:6" x14ac:dyDescent="0.25">
      <c r="F1508" s="268"/>
    </row>
    <row r="1509" spans="6:6" x14ac:dyDescent="0.25">
      <c r="F1509" s="268"/>
    </row>
    <row r="1510" spans="6:6" x14ac:dyDescent="0.25">
      <c r="F1510" s="268"/>
    </row>
    <row r="1511" spans="6:6" x14ac:dyDescent="0.25">
      <c r="F1511" s="268"/>
    </row>
    <row r="1512" spans="6:6" x14ac:dyDescent="0.25">
      <c r="F1512" s="268"/>
    </row>
    <row r="1513" spans="6:6" x14ac:dyDescent="0.25">
      <c r="F1513" s="268"/>
    </row>
    <row r="1514" spans="6:6" x14ac:dyDescent="0.25">
      <c r="F1514" s="268"/>
    </row>
    <row r="1515" spans="6:6" x14ac:dyDescent="0.25">
      <c r="F1515" s="268"/>
    </row>
    <row r="1516" spans="6:6" x14ac:dyDescent="0.25">
      <c r="F1516" s="268"/>
    </row>
    <row r="1517" spans="6:6" x14ac:dyDescent="0.25">
      <c r="F1517" s="268"/>
    </row>
    <row r="1518" spans="6:6" x14ac:dyDescent="0.25">
      <c r="F1518" s="268"/>
    </row>
    <row r="1519" spans="6:6" x14ac:dyDescent="0.25">
      <c r="F1519" s="268"/>
    </row>
    <row r="1520" spans="6:6" x14ac:dyDescent="0.25">
      <c r="F1520" s="268"/>
    </row>
    <row r="1521" spans="6:6" x14ac:dyDescent="0.25">
      <c r="F1521" s="268"/>
    </row>
    <row r="1522" spans="6:6" x14ac:dyDescent="0.25">
      <c r="F1522" s="268"/>
    </row>
    <row r="1523" spans="6:6" x14ac:dyDescent="0.25">
      <c r="F1523" s="268"/>
    </row>
    <row r="1524" spans="6:6" x14ac:dyDescent="0.25">
      <c r="F1524" s="268"/>
    </row>
    <row r="1525" spans="6:6" x14ac:dyDescent="0.25">
      <c r="F1525" s="268"/>
    </row>
    <row r="1526" spans="6:6" x14ac:dyDescent="0.25">
      <c r="F1526" s="268"/>
    </row>
    <row r="1527" spans="6:6" x14ac:dyDescent="0.25">
      <c r="F1527" s="268"/>
    </row>
    <row r="1528" spans="6:6" x14ac:dyDescent="0.25">
      <c r="F1528" s="268"/>
    </row>
    <row r="1529" spans="6:6" x14ac:dyDescent="0.25">
      <c r="F1529" s="268"/>
    </row>
    <row r="1530" spans="6:6" x14ac:dyDescent="0.25">
      <c r="F1530" s="268"/>
    </row>
    <row r="1531" spans="6:6" x14ac:dyDescent="0.25">
      <c r="F1531" s="268"/>
    </row>
    <row r="1532" spans="6:6" x14ac:dyDescent="0.25">
      <c r="F1532" s="268"/>
    </row>
    <row r="1533" spans="6:6" x14ac:dyDescent="0.25">
      <c r="F1533" s="268"/>
    </row>
    <row r="1534" spans="6:6" x14ac:dyDescent="0.25">
      <c r="F1534" s="268"/>
    </row>
    <row r="1535" spans="6:6" x14ac:dyDescent="0.25">
      <c r="F1535" s="268"/>
    </row>
    <row r="1536" spans="6:6" x14ac:dyDescent="0.25">
      <c r="F1536" s="268"/>
    </row>
    <row r="1537" spans="6:6" x14ac:dyDescent="0.25">
      <c r="F1537" s="268"/>
    </row>
    <row r="1538" spans="6:6" x14ac:dyDescent="0.25">
      <c r="F1538" s="268"/>
    </row>
    <row r="1539" spans="6:6" x14ac:dyDescent="0.25">
      <c r="F1539" s="268"/>
    </row>
    <row r="1540" spans="6:6" x14ac:dyDescent="0.25">
      <c r="F1540" s="268"/>
    </row>
    <row r="1541" spans="6:6" x14ac:dyDescent="0.25">
      <c r="F1541" s="268"/>
    </row>
    <row r="1542" spans="6:6" x14ac:dyDescent="0.25">
      <c r="F1542" s="268"/>
    </row>
    <row r="1543" spans="6:6" x14ac:dyDescent="0.25">
      <c r="F1543" s="268"/>
    </row>
    <row r="1544" spans="6:6" x14ac:dyDescent="0.25">
      <c r="F1544" s="268"/>
    </row>
    <row r="1545" spans="6:6" x14ac:dyDescent="0.25">
      <c r="F1545" s="268"/>
    </row>
    <row r="1546" spans="6:6" x14ac:dyDescent="0.25">
      <c r="F1546" s="268"/>
    </row>
    <row r="1547" spans="6:6" x14ac:dyDescent="0.25">
      <c r="F1547" s="268"/>
    </row>
    <row r="1548" spans="6:6" x14ac:dyDescent="0.25">
      <c r="F1548" s="268"/>
    </row>
    <row r="1549" spans="6:6" x14ac:dyDescent="0.25">
      <c r="F1549" s="268"/>
    </row>
    <row r="1550" spans="6:6" x14ac:dyDescent="0.25">
      <c r="F1550" s="268"/>
    </row>
    <row r="1551" spans="6:6" x14ac:dyDescent="0.25">
      <c r="F1551" s="268"/>
    </row>
    <row r="1552" spans="6:6" x14ac:dyDescent="0.25">
      <c r="F1552" s="268"/>
    </row>
    <row r="1553" spans="6:6" x14ac:dyDescent="0.25">
      <c r="F1553" s="268"/>
    </row>
    <row r="1554" spans="6:6" x14ac:dyDescent="0.25">
      <c r="F1554" s="268"/>
    </row>
    <row r="1555" spans="6:6" x14ac:dyDescent="0.25">
      <c r="F1555" s="268"/>
    </row>
    <row r="1556" spans="6:6" x14ac:dyDescent="0.25">
      <c r="F1556" s="268"/>
    </row>
    <row r="1557" spans="6:6" x14ac:dyDescent="0.25">
      <c r="F1557" s="268"/>
    </row>
    <row r="1558" spans="6:6" x14ac:dyDescent="0.25">
      <c r="F1558" s="268"/>
    </row>
    <row r="1559" spans="6:6" x14ac:dyDescent="0.25">
      <c r="F1559" s="268"/>
    </row>
    <row r="1560" spans="6:6" x14ac:dyDescent="0.25">
      <c r="F1560" s="268"/>
    </row>
    <row r="1561" spans="6:6" x14ac:dyDescent="0.25">
      <c r="F1561" s="268"/>
    </row>
    <row r="1562" spans="6:6" x14ac:dyDescent="0.25">
      <c r="F1562" s="268"/>
    </row>
    <row r="1563" spans="6:6" x14ac:dyDescent="0.25">
      <c r="F1563" s="268"/>
    </row>
    <row r="1564" spans="6:6" x14ac:dyDescent="0.25">
      <c r="F1564" s="268"/>
    </row>
    <row r="1565" spans="6:6" x14ac:dyDescent="0.25">
      <c r="F1565" s="268"/>
    </row>
    <row r="1566" spans="6:6" x14ac:dyDescent="0.25">
      <c r="F1566" s="268"/>
    </row>
    <row r="1567" spans="6:6" x14ac:dyDescent="0.25">
      <c r="F1567" s="268"/>
    </row>
    <row r="1568" spans="6:6" x14ac:dyDescent="0.25">
      <c r="F1568" s="268"/>
    </row>
    <row r="1569" spans="6:6" x14ac:dyDescent="0.25">
      <c r="F1569" s="268"/>
    </row>
    <row r="1570" spans="6:6" x14ac:dyDescent="0.25">
      <c r="F1570" s="268"/>
    </row>
    <row r="1571" spans="6:6" x14ac:dyDescent="0.25">
      <c r="F1571" s="268"/>
    </row>
    <row r="1572" spans="6:6" x14ac:dyDescent="0.25">
      <c r="F1572" s="268"/>
    </row>
    <row r="1573" spans="6:6" x14ac:dyDescent="0.25">
      <c r="F1573" s="268"/>
    </row>
    <row r="1574" spans="6:6" x14ac:dyDescent="0.25">
      <c r="F1574" s="268"/>
    </row>
    <row r="1575" spans="6:6" x14ac:dyDescent="0.25">
      <c r="F1575" s="268"/>
    </row>
    <row r="1576" spans="6:6" x14ac:dyDescent="0.25">
      <c r="F1576" s="268"/>
    </row>
    <row r="1577" spans="6:6" x14ac:dyDescent="0.25">
      <c r="F1577" s="268"/>
    </row>
    <row r="1578" spans="6:6" x14ac:dyDescent="0.25">
      <c r="F1578" s="268"/>
    </row>
    <row r="1579" spans="6:6" x14ac:dyDescent="0.25">
      <c r="F1579" s="268"/>
    </row>
    <row r="1580" spans="6:6" x14ac:dyDescent="0.25">
      <c r="F1580" s="268"/>
    </row>
    <row r="1581" spans="6:6" x14ac:dyDescent="0.25">
      <c r="F1581" s="268"/>
    </row>
    <row r="1582" spans="6:6" x14ac:dyDescent="0.25">
      <c r="F1582" s="268"/>
    </row>
    <row r="1583" spans="6:6" x14ac:dyDescent="0.25">
      <c r="F1583" s="268"/>
    </row>
    <row r="1584" spans="6:6" x14ac:dyDescent="0.25">
      <c r="F1584" s="268"/>
    </row>
    <row r="1585" spans="6:6" x14ac:dyDescent="0.25">
      <c r="F1585" s="268"/>
    </row>
    <row r="1586" spans="6:6" x14ac:dyDescent="0.25">
      <c r="F1586" s="268"/>
    </row>
    <row r="1587" spans="6:6" x14ac:dyDescent="0.25">
      <c r="F1587" s="268"/>
    </row>
    <row r="1588" spans="6:6" x14ac:dyDescent="0.25">
      <c r="F1588" s="268"/>
    </row>
    <row r="1589" spans="6:6" x14ac:dyDescent="0.25">
      <c r="F1589" s="268"/>
    </row>
    <row r="1590" spans="6:6" x14ac:dyDescent="0.25">
      <c r="F1590" s="268"/>
    </row>
    <row r="1591" spans="6:6" x14ac:dyDescent="0.25">
      <c r="F1591" s="268"/>
    </row>
    <row r="1592" spans="6:6" x14ac:dyDescent="0.25">
      <c r="F1592" s="268"/>
    </row>
    <row r="1593" spans="6:6" x14ac:dyDescent="0.25">
      <c r="F1593" s="268"/>
    </row>
    <row r="1594" spans="6:6" x14ac:dyDescent="0.25">
      <c r="F1594" s="268"/>
    </row>
    <row r="1595" spans="6:6" x14ac:dyDescent="0.25">
      <c r="F1595" s="268"/>
    </row>
    <row r="1596" spans="6:6" x14ac:dyDescent="0.25">
      <c r="F1596" s="268"/>
    </row>
    <row r="1597" spans="6:6" x14ac:dyDescent="0.25">
      <c r="F1597" s="268"/>
    </row>
    <row r="1598" spans="6:6" x14ac:dyDescent="0.25">
      <c r="F1598" s="268"/>
    </row>
    <row r="1599" spans="6:6" x14ac:dyDescent="0.25">
      <c r="F1599" s="268"/>
    </row>
    <row r="1600" spans="6:6" x14ac:dyDescent="0.25">
      <c r="F1600" s="268"/>
    </row>
    <row r="1601" spans="6:6" x14ac:dyDescent="0.25">
      <c r="F1601" s="268"/>
    </row>
    <row r="1602" spans="6:6" x14ac:dyDescent="0.25">
      <c r="F1602" s="268"/>
    </row>
    <row r="1603" spans="6:6" x14ac:dyDescent="0.25">
      <c r="F1603" s="268"/>
    </row>
    <row r="1604" spans="6:6" x14ac:dyDescent="0.25">
      <c r="F1604" s="268"/>
    </row>
    <row r="1605" spans="6:6" x14ac:dyDescent="0.25">
      <c r="F1605" s="268"/>
    </row>
    <row r="1606" spans="6:6" x14ac:dyDescent="0.25">
      <c r="F1606" s="268"/>
    </row>
    <row r="1607" spans="6:6" x14ac:dyDescent="0.25">
      <c r="F1607" s="268"/>
    </row>
    <row r="1608" spans="6:6" x14ac:dyDescent="0.25">
      <c r="F1608" s="268"/>
    </row>
    <row r="1609" spans="6:6" x14ac:dyDescent="0.25">
      <c r="F1609" s="268"/>
    </row>
    <row r="1610" spans="6:6" x14ac:dyDescent="0.25">
      <c r="F1610" s="268"/>
    </row>
    <row r="1611" spans="6:6" x14ac:dyDescent="0.25">
      <c r="F1611" s="268"/>
    </row>
    <row r="1612" spans="6:6" x14ac:dyDescent="0.25">
      <c r="F1612" s="268"/>
    </row>
    <row r="1613" spans="6:6" x14ac:dyDescent="0.25">
      <c r="F1613" s="268"/>
    </row>
    <row r="1614" spans="6:6" x14ac:dyDescent="0.25">
      <c r="F1614" s="268"/>
    </row>
    <row r="1615" spans="6:6" x14ac:dyDescent="0.25">
      <c r="F1615" s="268"/>
    </row>
    <row r="1616" spans="6:6" x14ac:dyDescent="0.25">
      <c r="F1616" s="268"/>
    </row>
    <row r="1617" spans="6:6" x14ac:dyDescent="0.25">
      <c r="F1617" s="268"/>
    </row>
    <row r="1618" spans="6:6" x14ac:dyDescent="0.25">
      <c r="F1618" s="268"/>
    </row>
    <row r="1619" spans="6:6" x14ac:dyDescent="0.25">
      <c r="F1619" s="268"/>
    </row>
    <row r="1620" spans="6:6" x14ac:dyDescent="0.25">
      <c r="F1620" s="268"/>
    </row>
    <row r="1621" spans="6:6" x14ac:dyDescent="0.25">
      <c r="F1621" s="268"/>
    </row>
    <row r="1622" spans="6:6" x14ac:dyDescent="0.25">
      <c r="F1622" s="268"/>
    </row>
    <row r="1623" spans="6:6" x14ac:dyDescent="0.25">
      <c r="F1623" s="268"/>
    </row>
    <row r="1624" spans="6:6" x14ac:dyDescent="0.25">
      <c r="F1624" s="268"/>
    </row>
    <row r="1625" spans="6:6" x14ac:dyDescent="0.25">
      <c r="F1625" s="268"/>
    </row>
    <row r="1626" spans="6:6" x14ac:dyDescent="0.25">
      <c r="F1626" s="268"/>
    </row>
    <row r="1627" spans="6:6" x14ac:dyDescent="0.25">
      <c r="F1627" s="268"/>
    </row>
    <row r="1628" spans="6:6" x14ac:dyDescent="0.25">
      <c r="F1628" s="268"/>
    </row>
    <row r="1629" spans="6:6" x14ac:dyDescent="0.25">
      <c r="F1629" s="268"/>
    </row>
    <row r="1630" spans="6:6" x14ac:dyDescent="0.25">
      <c r="F1630" s="268"/>
    </row>
    <row r="1631" spans="6:6" x14ac:dyDescent="0.25">
      <c r="F1631" s="268"/>
    </row>
    <row r="1632" spans="6:6" x14ac:dyDescent="0.25">
      <c r="F1632" s="268"/>
    </row>
    <row r="1633" spans="6:6" x14ac:dyDescent="0.25">
      <c r="F1633" s="268"/>
    </row>
    <row r="1634" spans="6:6" x14ac:dyDescent="0.25">
      <c r="F1634" s="268"/>
    </row>
    <row r="1635" spans="6:6" x14ac:dyDescent="0.25">
      <c r="F1635" s="268"/>
    </row>
    <row r="1636" spans="6:6" x14ac:dyDescent="0.25">
      <c r="F1636" s="268"/>
    </row>
    <row r="1637" spans="6:6" x14ac:dyDescent="0.25">
      <c r="F1637" s="268"/>
    </row>
    <row r="1638" spans="6:6" x14ac:dyDescent="0.25">
      <c r="F1638" s="268"/>
    </row>
    <row r="1639" spans="6:6" x14ac:dyDescent="0.25">
      <c r="F1639" s="268"/>
    </row>
    <row r="1640" spans="6:6" x14ac:dyDescent="0.25">
      <c r="F1640" s="268"/>
    </row>
    <row r="1641" spans="6:6" x14ac:dyDescent="0.25">
      <c r="F1641" s="268"/>
    </row>
    <row r="1642" spans="6:6" x14ac:dyDescent="0.25">
      <c r="F1642" s="268"/>
    </row>
    <row r="1643" spans="6:6" x14ac:dyDescent="0.25">
      <c r="F1643" s="268"/>
    </row>
    <row r="1644" spans="6:6" x14ac:dyDescent="0.25">
      <c r="F1644" s="268"/>
    </row>
    <row r="1645" spans="6:6" x14ac:dyDescent="0.25">
      <c r="F1645" s="268"/>
    </row>
    <row r="1646" spans="6:6" x14ac:dyDescent="0.25">
      <c r="F1646" s="268"/>
    </row>
    <row r="1647" spans="6:6" x14ac:dyDescent="0.25">
      <c r="F1647" s="268"/>
    </row>
    <row r="1648" spans="6:6" x14ac:dyDescent="0.25">
      <c r="F1648" s="268"/>
    </row>
    <row r="1649" spans="6:6" x14ac:dyDescent="0.25">
      <c r="F1649" s="268"/>
    </row>
    <row r="1650" spans="6:6" x14ac:dyDescent="0.25">
      <c r="F1650" s="268"/>
    </row>
    <row r="1651" spans="6:6" x14ac:dyDescent="0.25">
      <c r="F1651" s="268"/>
    </row>
    <row r="1652" spans="6:6" x14ac:dyDescent="0.25">
      <c r="F1652" s="268"/>
    </row>
    <row r="1653" spans="6:6" x14ac:dyDescent="0.25">
      <c r="F1653" s="268"/>
    </row>
    <row r="1654" spans="6:6" x14ac:dyDescent="0.25">
      <c r="F1654" s="268"/>
    </row>
    <row r="1655" spans="6:6" x14ac:dyDescent="0.25">
      <c r="F1655" s="268"/>
    </row>
    <row r="1656" spans="6:6" x14ac:dyDescent="0.25">
      <c r="F1656" s="268"/>
    </row>
    <row r="1657" spans="6:6" x14ac:dyDescent="0.25">
      <c r="F1657" s="268"/>
    </row>
    <row r="1658" spans="6:6" x14ac:dyDescent="0.25">
      <c r="F1658" s="268"/>
    </row>
    <row r="1659" spans="6:6" x14ac:dyDescent="0.25">
      <c r="F1659" s="268"/>
    </row>
    <row r="1660" spans="6:6" x14ac:dyDescent="0.25">
      <c r="F1660" s="268"/>
    </row>
    <row r="1661" spans="6:6" x14ac:dyDescent="0.25">
      <c r="F1661" s="268"/>
    </row>
    <row r="1662" spans="6:6" x14ac:dyDescent="0.25">
      <c r="F1662" s="268"/>
    </row>
    <row r="1663" spans="6:6" x14ac:dyDescent="0.25">
      <c r="F1663" s="268"/>
    </row>
    <row r="1664" spans="6:6" x14ac:dyDescent="0.25">
      <c r="F1664" s="268"/>
    </row>
    <row r="1665" spans="6:6" x14ac:dyDescent="0.25">
      <c r="F1665" s="268"/>
    </row>
    <row r="1666" spans="6:6" x14ac:dyDescent="0.25">
      <c r="F1666" s="268"/>
    </row>
    <row r="1667" spans="6:6" x14ac:dyDescent="0.25">
      <c r="F1667" s="268"/>
    </row>
    <row r="1668" spans="6:6" x14ac:dyDescent="0.25">
      <c r="F1668" s="268"/>
    </row>
    <row r="1669" spans="6:6" x14ac:dyDescent="0.25">
      <c r="F1669" s="268"/>
    </row>
    <row r="1670" spans="6:6" x14ac:dyDescent="0.25">
      <c r="F1670" s="268"/>
    </row>
    <row r="1671" spans="6:6" x14ac:dyDescent="0.25">
      <c r="F1671" s="268"/>
    </row>
    <row r="1672" spans="6:6" x14ac:dyDescent="0.25">
      <c r="F1672" s="268"/>
    </row>
    <row r="1673" spans="6:6" x14ac:dyDescent="0.25">
      <c r="F1673" s="268"/>
    </row>
    <row r="1674" spans="6:6" x14ac:dyDescent="0.25">
      <c r="F1674" s="268"/>
    </row>
    <row r="1675" spans="6:6" x14ac:dyDescent="0.25">
      <c r="F1675" s="268"/>
    </row>
    <row r="1676" spans="6:6" x14ac:dyDescent="0.25">
      <c r="F1676" s="268"/>
    </row>
    <row r="1677" spans="6:6" x14ac:dyDescent="0.25">
      <c r="F1677" s="268"/>
    </row>
    <row r="1678" spans="6:6" x14ac:dyDescent="0.25">
      <c r="F1678" s="268"/>
    </row>
    <row r="1679" spans="6:6" x14ac:dyDescent="0.25">
      <c r="F1679" s="268"/>
    </row>
    <row r="1680" spans="6:6" x14ac:dyDescent="0.25">
      <c r="F1680" s="268"/>
    </row>
    <row r="1681" spans="6:6" x14ac:dyDescent="0.25">
      <c r="F1681" s="268"/>
    </row>
    <row r="1682" spans="6:6" x14ac:dyDescent="0.25">
      <c r="F1682" s="268"/>
    </row>
    <row r="1683" spans="6:6" x14ac:dyDescent="0.25">
      <c r="F1683" s="268"/>
    </row>
    <row r="1684" spans="6:6" x14ac:dyDescent="0.25">
      <c r="F1684" s="268"/>
    </row>
    <row r="1685" spans="6:6" x14ac:dyDescent="0.25">
      <c r="F1685" s="268"/>
    </row>
    <row r="1686" spans="6:6" x14ac:dyDescent="0.25">
      <c r="F1686" s="268"/>
    </row>
    <row r="1687" spans="6:6" x14ac:dyDescent="0.25">
      <c r="F1687" s="268"/>
    </row>
    <row r="1688" spans="6:6" x14ac:dyDescent="0.25">
      <c r="F1688" s="268"/>
    </row>
    <row r="1689" spans="6:6" x14ac:dyDescent="0.25">
      <c r="F1689" s="268"/>
    </row>
    <row r="1690" spans="6:6" x14ac:dyDescent="0.25">
      <c r="F1690" s="268"/>
    </row>
    <row r="1691" spans="6:6" x14ac:dyDescent="0.25">
      <c r="F1691" s="268"/>
    </row>
    <row r="1692" spans="6:6" x14ac:dyDescent="0.25">
      <c r="F1692" s="268"/>
    </row>
    <row r="1693" spans="6:6" x14ac:dyDescent="0.25">
      <c r="F1693" s="268"/>
    </row>
    <row r="1694" spans="6:6" x14ac:dyDescent="0.25">
      <c r="F1694" s="268"/>
    </row>
    <row r="1695" spans="6:6" x14ac:dyDescent="0.25">
      <c r="F1695" s="268"/>
    </row>
    <row r="1696" spans="6:6" x14ac:dyDescent="0.25">
      <c r="F1696" s="268"/>
    </row>
    <row r="1697" spans="6:6" x14ac:dyDescent="0.25">
      <c r="F1697" s="268"/>
    </row>
    <row r="1698" spans="6:6" x14ac:dyDescent="0.25">
      <c r="F1698" s="268"/>
    </row>
    <row r="1699" spans="6:6" x14ac:dyDescent="0.25">
      <c r="F1699" s="268"/>
    </row>
    <row r="1700" spans="6:6" x14ac:dyDescent="0.25">
      <c r="F1700" s="268"/>
    </row>
    <row r="1701" spans="6:6" x14ac:dyDescent="0.25">
      <c r="F1701" s="268"/>
    </row>
    <row r="1702" spans="6:6" x14ac:dyDescent="0.25">
      <c r="F1702" s="268"/>
    </row>
    <row r="1703" spans="6:6" x14ac:dyDescent="0.25">
      <c r="F1703" s="268"/>
    </row>
    <row r="1704" spans="6:6" x14ac:dyDescent="0.25">
      <c r="F1704" s="268"/>
    </row>
    <row r="1705" spans="6:6" x14ac:dyDescent="0.25">
      <c r="F1705" s="268"/>
    </row>
    <row r="1706" spans="6:6" x14ac:dyDescent="0.25">
      <c r="F1706" s="268"/>
    </row>
    <row r="1707" spans="6:6" x14ac:dyDescent="0.25">
      <c r="F1707" s="268"/>
    </row>
    <row r="1708" spans="6:6" x14ac:dyDescent="0.25">
      <c r="F1708" s="268"/>
    </row>
    <row r="1709" spans="6:6" x14ac:dyDescent="0.25">
      <c r="F1709" s="268"/>
    </row>
    <row r="1710" spans="6:6" x14ac:dyDescent="0.25">
      <c r="F1710" s="268"/>
    </row>
    <row r="1711" spans="6:6" x14ac:dyDescent="0.25">
      <c r="F1711" s="268"/>
    </row>
    <row r="1712" spans="6:6" x14ac:dyDescent="0.25">
      <c r="F1712" s="268"/>
    </row>
    <row r="1713" spans="6:6" x14ac:dyDescent="0.25">
      <c r="F1713" s="268"/>
    </row>
    <row r="1714" spans="6:6" x14ac:dyDescent="0.25">
      <c r="F1714" s="268"/>
    </row>
    <row r="1715" spans="6:6" x14ac:dyDescent="0.25">
      <c r="F1715" s="268"/>
    </row>
    <row r="1716" spans="6:6" x14ac:dyDescent="0.25">
      <c r="F1716" s="268"/>
    </row>
    <row r="1717" spans="6:6" x14ac:dyDescent="0.25">
      <c r="F1717" s="268"/>
    </row>
    <row r="1718" spans="6:6" x14ac:dyDescent="0.25">
      <c r="F1718" s="268"/>
    </row>
    <row r="1719" spans="6:6" x14ac:dyDescent="0.25">
      <c r="F1719" s="268"/>
    </row>
    <row r="1720" spans="6:6" x14ac:dyDescent="0.25">
      <c r="F1720" s="268"/>
    </row>
    <row r="1721" spans="6:6" x14ac:dyDescent="0.25">
      <c r="F1721" s="268"/>
    </row>
    <row r="1722" spans="6:6" x14ac:dyDescent="0.25">
      <c r="F1722" s="268"/>
    </row>
    <row r="1723" spans="6:6" x14ac:dyDescent="0.25">
      <c r="F1723" s="268"/>
    </row>
    <row r="1724" spans="6:6" x14ac:dyDescent="0.25">
      <c r="F1724" s="268"/>
    </row>
    <row r="1725" spans="6:6" x14ac:dyDescent="0.25">
      <c r="F1725" s="268"/>
    </row>
    <row r="1726" spans="6:6" x14ac:dyDescent="0.25">
      <c r="F1726" s="268"/>
    </row>
    <row r="1727" spans="6:6" x14ac:dyDescent="0.25">
      <c r="F1727" s="268"/>
    </row>
    <row r="1728" spans="6:6" x14ac:dyDescent="0.25">
      <c r="F1728" s="268"/>
    </row>
    <row r="1729" spans="6:6" x14ac:dyDescent="0.25">
      <c r="F1729" s="268"/>
    </row>
    <row r="1730" spans="6:6" x14ac:dyDescent="0.25">
      <c r="F1730" s="268"/>
    </row>
    <row r="1731" spans="6:6" x14ac:dyDescent="0.25">
      <c r="F1731" s="268"/>
    </row>
    <row r="1732" spans="6:6" x14ac:dyDescent="0.25">
      <c r="F1732" s="268"/>
    </row>
    <row r="1733" spans="6:6" x14ac:dyDescent="0.25">
      <c r="F1733" s="268"/>
    </row>
    <row r="1734" spans="6:6" x14ac:dyDescent="0.25">
      <c r="F1734" s="268"/>
    </row>
    <row r="1735" spans="6:6" x14ac:dyDescent="0.25">
      <c r="F1735" s="268"/>
    </row>
    <row r="1736" spans="6:6" x14ac:dyDescent="0.25">
      <c r="F1736" s="268"/>
    </row>
    <row r="1737" spans="6:6" x14ac:dyDescent="0.25">
      <c r="F1737" s="268"/>
    </row>
    <row r="1738" spans="6:6" x14ac:dyDescent="0.25">
      <c r="F1738" s="268"/>
    </row>
    <row r="1739" spans="6:6" x14ac:dyDescent="0.25">
      <c r="F1739" s="268"/>
    </row>
    <row r="1740" spans="6:6" x14ac:dyDescent="0.25">
      <c r="F1740" s="268"/>
    </row>
    <row r="1741" spans="6:6" x14ac:dyDescent="0.25">
      <c r="F1741" s="268"/>
    </row>
    <row r="1742" spans="6:6" x14ac:dyDescent="0.25">
      <c r="F1742" s="268"/>
    </row>
    <row r="1743" spans="6:6" x14ac:dyDescent="0.25">
      <c r="F1743" s="268"/>
    </row>
    <row r="1744" spans="6:6" x14ac:dyDescent="0.25">
      <c r="F1744" s="268"/>
    </row>
    <row r="1745" spans="6:6" x14ac:dyDescent="0.25">
      <c r="F1745" s="268"/>
    </row>
    <row r="1746" spans="6:6" x14ac:dyDescent="0.25">
      <c r="F1746" s="268"/>
    </row>
    <row r="1747" spans="6:6" x14ac:dyDescent="0.25">
      <c r="F1747" s="268"/>
    </row>
    <row r="1748" spans="6:6" x14ac:dyDescent="0.25">
      <c r="F1748" s="268"/>
    </row>
    <row r="1749" spans="6:6" x14ac:dyDescent="0.25">
      <c r="F1749" s="268"/>
    </row>
    <row r="1750" spans="6:6" x14ac:dyDescent="0.25">
      <c r="F1750" s="268"/>
    </row>
    <row r="1751" spans="6:6" x14ac:dyDescent="0.25">
      <c r="F1751" s="268"/>
    </row>
    <row r="1752" spans="6:6" x14ac:dyDescent="0.25">
      <c r="F1752" s="268"/>
    </row>
    <row r="1753" spans="6:6" x14ac:dyDescent="0.25">
      <c r="F1753" s="268"/>
    </row>
    <row r="1754" spans="6:6" x14ac:dyDescent="0.25">
      <c r="F1754" s="268"/>
    </row>
    <row r="1755" spans="6:6" x14ac:dyDescent="0.25">
      <c r="F1755" s="268"/>
    </row>
    <row r="1756" spans="6:6" x14ac:dyDescent="0.25">
      <c r="F1756" s="268"/>
    </row>
    <row r="1757" spans="6:6" x14ac:dyDescent="0.25">
      <c r="F1757" s="268"/>
    </row>
    <row r="1758" spans="6:6" x14ac:dyDescent="0.25">
      <c r="F1758" s="268"/>
    </row>
    <row r="1759" spans="6:6" x14ac:dyDescent="0.25">
      <c r="F1759" s="268"/>
    </row>
    <row r="1760" spans="6:6" x14ac:dyDescent="0.25">
      <c r="F1760" s="268"/>
    </row>
    <row r="1761" spans="6:6" x14ac:dyDescent="0.25">
      <c r="F1761" s="268"/>
    </row>
    <row r="1762" spans="6:6" x14ac:dyDescent="0.25">
      <c r="F1762" s="268"/>
    </row>
    <row r="1763" spans="6:6" x14ac:dyDescent="0.25">
      <c r="F1763" s="268"/>
    </row>
    <row r="1764" spans="6:6" x14ac:dyDescent="0.25">
      <c r="F1764" s="268"/>
    </row>
    <row r="1765" spans="6:6" x14ac:dyDescent="0.25">
      <c r="F1765" s="268"/>
    </row>
    <row r="1766" spans="6:6" x14ac:dyDescent="0.25">
      <c r="F1766" s="268"/>
    </row>
    <row r="1767" spans="6:6" x14ac:dyDescent="0.25">
      <c r="F1767" s="268"/>
    </row>
    <row r="1768" spans="6:6" x14ac:dyDescent="0.25">
      <c r="F1768" s="268"/>
    </row>
    <row r="1769" spans="6:6" x14ac:dyDescent="0.25">
      <c r="F1769" s="268"/>
    </row>
    <row r="1770" spans="6:6" x14ac:dyDescent="0.25">
      <c r="F1770" s="268"/>
    </row>
    <row r="1771" spans="6:6" x14ac:dyDescent="0.25">
      <c r="F1771" s="268"/>
    </row>
    <row r="1772" spans="6:6" x14ac:dyDescent="0.25">
      <c r="F1772" s="268"/>
    </row>
    <row r="1773" spans="6:6" x14ac:dyDescent="0.25">
      <c r="F1773" s="268"/>
    </row>
    <row r="1774" spans="6:6" x14ac:dyDescent="0.25">
      <c r="F1774" s="268"/>
    </row>
    <row r="1775" spans="6:6" x14ac:dyDescent="0.25">
      <c r="F1775" s="268"/>
    </row>
    <row r="1776" spans="6:6" x14ac:dyDescent="0.25">
      <c r="F1776" s="268"/>
    </row>
    <row r="1777" spans="6:6" x14ac:dyDescent="0.25">
      <c r="F1777" s="268"/>
    </row>
    <row r="1778" spans="6:6" x14ac:dyDescent="0.25">
      <c r="F1778" s="268"/>
    </row>
    <row r="1779" spans="6:6" x14ac:dyDescent="0.25">
      <c r="F1779" s="268"/>
    </row>
    <row r="1780" spans="6:6" x14ac:dyDescent="0.25">
      <c r="F1780" s="268"/>
    </row>
    <row r="1781" spans="6:6" x14ac:dyDescent="0.25">
      <c r="F1781" s="268"/>
    </row>
    <row r="1782" spans="6:6" x14ac:dyDescent="0.25">
      <c r="F1782" s="268"/>
    </row>
    <row r="1783" spans="6:6" x14ac:dyDescent="0.25">
      <c r="F1783" s="268"/>
    </row>
    <row r="1784" spans="6:6" x14ac:dyDescent="0.25">
      <c r="F1784" s="268"/>
    </row>
    <row r="1785" spans="6:6" x14ac:dyDescent="0.25">
      <c r="F1785" s="268"/>
    </row>
    <row r="1786" spans="6:6" x14ac:dyDescent="0.25">
      <c r="F1786" s="268"/>
    </row>
    <row r="1787" spans="6:6" x14ac:dyDescent="0.25">
      <c r="F1787" s="268"/>
    </row>
    <row r="1788" spans="6:6" x14ac:dyDescent="0.25">
      <c r="F1788" s="268"/>
    </row>
    <row r="1789" spans="6:6" x14ac:dyDescent="0.25">
      <c r="F1789" s="268"/>
    </row>
    <row r="1790" spans="6:6" x14ac:dyDescent="0.25">
      <c r="F1790" s="268"/>
    </row>
    <row r="1791" spans="6:6" x14ac:dyDescent="0.25">
      <c r="F1791" s="268"/>
    </row>
    <row r="1792" spans="6:6" x14ac:dyDescent="0.25">
      <c r="F1792" s="268"/>
    </row>
    <row r="1793" spans="6:6" x14ac:dyDescent="0.25">
      <c r="F1793" s="268"/>
    </row>
    <row r="1794" spans="6:6" x14ac:dyDescent="0.25">
      <c r="F1794" s="268"/>
    </row>
    <row r="1795" spans="6:6" x14ac:dyDescent="0.25">
      <c r="F1795" s="268"/>
    </row>
    <row r="1796" spans="6:6" x14ac:dyDescent="0.25">
      <c r="F1796" s="268"/>
    </row>
    <row r="1797" spans="6:6" x14ac:dyDescent="0.25">
      <c r="F1797" s="268"/>
    </row>
    <row r="1798" spans="6:6" x14ac:dyDescent="0.25">
      <c r="F1798" s="268"/>
    </row>
    <row r="1799" spans="6:6" x14ac:dyDescent="0.25">
      <c r="F1799" s="268"/>
    </row>
    <row r="1800" spans="6:6" x14ac:dyDescent="0.25">
      <c r="F1800" s="268"/>
    </row>
    <row r="1801" spans="6:6" x14ac:dyDescent="0.25">
      <c r="F1801" s="268"/>
    </row>
    <row r="1802" spans="6:6" x14ac:dyDescent="0.25">
      <c r="F1802" s="268"/>
    </row>
    <row r="1803" spans="6:6" x14ac:dyDescent="0.25">
      <c r="F1803" s="268"/>
    </row>
    <row r="1804" spans="6:6" x14ac:dyDescent="0.25">
      <c r="F1804" s="268"/>
    </row>
    <row r="1805" spans="6:6" x14ac:dyDescent="0.25">
      <c r="F1805" s="268"/>
    </row>
    <row r="1806" spans="6:6" x14ac:dyDescent="0.25">
      <c r="F1806" s="268"/>
    </row>
    <row r="1807" spans="6:6" x14ac:dyDescent="0.25">
      <c r="F1807" s="268"/>
    </row>
    <row r="1808" spans="6:6" x14ac:dyDescent="0.25">
      <c r="F1808" s="268"/>
    </row>
    <row r="1809" spans="6:6" x14ac:dyDescent="0.25">
      <c r="F1809" s="268"/>
    </row>
    <row r="1810" spans="6:6" x14ac:dyDescent="0.25">
      <c r="F1810" s="268"/>
    </row>
    <row r="1811" spans="6:6" x14ac:dyDescent="0.25">
      <c r="F1811" s="268"/>
    </row>
    <row r="1812" spans="6:6" x14ac:dyDescent="0.25">
      <c r="F1812" s="268"/>
    </row>
    <row r="1813" spans="6:6" x14ac:dyDescent="0.25">
      <c r="F1813" s="268"/>
    </row>
    <row r="1814" spans="6:6" x14ac:dyDescent="0.25">
      <c r="F1814" s="268"/>
    </row>
    <row r="1815" spans="6:6" x14ac:dyDescent="0.25">
      <c r="F1815" s="268"/>
    </row>
    <row r="1816" spans="6:6" x14ac:dyDescent="0.25">
      <c r="F1816" s="268"/>
    </row>
    <row r="1817" spans="6:6" x14ac:dyDescent="0.25">
      <c r="F1817" s="268"/>
    </row>
    <row r="1818" spans="6:6" x14ac:dyDescent="0.25">
      <c r="F1818" s="268"/>
    </row>
    <row r="1819" spans="6:6" x14ac:dyDescent="0.25">
      <c r="F1819" s="268"/>
    </row>
    <row r="1820" spans="6:6" x14ac:dyDescent="0.25">
      <c r="F1820" s="268"/>
    </row>
    <row r="1821" spans="6:6" x14ac:dyDescent="0.25">
      <c r="F1821" s="268"/>
    </row>
    <row r="1822" spans="6:6" x14ac:dyDescent="0.25">
      <c r="F1822" s="268"/>
    </row>
    <row r="1823" spans="6:6" x14ac:dyDescent="0.25">
      <c r="F1823" s="268"/>
    </row>
    <row r="1824" spans="6:6" x14ac:dyDescent="0.25">
      <c r="F1824" s="268"/>
    </row>
    <row r="1825" spans="6:6" x14ac:dyDescent="0.25">
      <c r="F1825" s="268"/>
    </row>
    <row r="1826" spans="6:6" x14ac:dyDescent="0.25">
      <c r="F1826" s="268"/>
    </row>
    <row r="1827" spans="6:6" x14ac:dyDescent="0.25">
      <c r="F1827" s="268"/>
    </row>
    <row r="1828" spans="6:6" x14ac:dyDescent="0.25">
      <c r="F1828" s="268"/>
    </row>
    <row r="1829" spans="6:6" x14ac:dyDescent="0.25">
      <c r="F1829" s="268"/>
    </row>
    <row r="1830" spans="6:6" x14ac:dyDescent="0.25">
      <c r="F1830" s="268"/>
    </row>
    <row r="1831" spans="6:6" x14ac:dyDescent="0.25">
      <c r="F1831" s="268"/>
    </row>
    <row r="1832" spans="6:6" x14ac:dyDescent="0.25">
      <c r="F1832" s="268"/>
    </row>
    <row r="1833" spans="6:6" x14ac:dyDescent="0.25">
      <c r="F1833" s="268"/>
    </row>
    <row r="1834" spans="6:6" x14ac:dyDescent="0.25">
      <c r="F1834" s="268"/>
    </row>
    <row r="1835" spans="6:6" x14ac:dyDescent="0.25">
      <c r="F1835" s="268"/>
    </row>
    <row r="1836" spans="6:6" x14ac:dyDescent="0.25">
      <c r="F1836" s="268"/>
    </row>
    <row r="1837" spans="6:6" x14ac:dyDescent="0.25">
      <c r="F1837" s="268"/>
    </row>
    <row r="1838" spans="6:6" x14ac:dyDescent="0.25">
      <c r="F1838" s="268"/>
    </row>
    <row r="1839" spans="6:6" x14ac:dyDescent="0.25">
      <c r="F1839" s="268"/>
    </row>
    <row r="1840" spans="6:6" x14ac:dyDescent="0.25">
      <c r="F1840" s="268"/>
    </row>
    <row r="1841" spans="6:6" x14ac:dyDescent="0.25">
      <c r="F1841" s="268"/>
    </row>
    <row r="1842" spans="6:6" x14ac:dyDescent="0.25">
      <c r="F1842" s="268"/>
    </row>
    <row r="1843" spans="6:6" x14ac:dyDescent="0.25">
      <c r="F1843" s="268"/>
    </row>
    <row r="1844" spans="6:6" x14ac:dyDescent="0.25">
      <c r="F1844" s="268"/>
    </row>
    <row r="1845" spans="6:6" x14ac:dyDescent="0.25">
      <c r="F1845" s="268"/>
    </row>
    <row r="1846" spans="6:6" x14ac:dyDescent="0.25">
      <c r="F1846" s="268"/>
    </row>
    <row r="1847" spans="6:6" x14ac:dyDescent="0.25">
      <c r="F1847" s="268"/>
    </row>
    <row r="1848" spans="6:6" x14ac:dyDescent="0.25">
      <c r="F1848" s="268"/>
    </row>
    <row r="1849" spans="6:6" x14ac:dyDescent="0.25">
      <c r="F1849" s="268"/>
    </row>
    <row r="1850" spans="6:6" x14ac:dyDescent="0.25">
      <c r="F1850" s="268"/>
    </row>
    <row r="1851" spans="6:6" x14ac:dyDescent="0.25">
      <c r="F1851" s="268"/>
    </row>
    <row r="1852" spans="6:6" x14ac:dyDescent="0.25">
      <c r="F1852" s="268"/>
    </row>
    <row r="1853" spans="6:6" x14ac:dyDescent="0.25">
      <c r="F1853" s="268"/>
    </row>
    <row r="1854" spans="6:6" x14ac:dyDescent="0.25">
      <c r="F1854" s="268"/>
    </row>
    <row r="1855" spans="6:6" x14ac:dyDescent="0.25">
      <c r="F1855" s="268"/>
    </row>
    <row r="1856" spans="6:6" x14ac:dyDescent="0.25">
      <c r="F1856" s="268"/>
    </row>
    <row r="1857" spans="6:6" x14ac:dyDescent="0.25">
      <c r="F1857" s="268"/>
    </row>
    <row r="1858" spans="6:6" x14ac:dyDescent="0.25">
      <c r="F1858" s="268"/>
    </row>
    <row r="1859" spans="6:6" x14ac:dyDescent="0.25">
      <c r="F1859" s="268"/>
    </row>
    <row r="1860" spans="6:6" x14ac:dyDescent="0.25">
      <c r="F1860" s="268"/>
    </row>
    <row r="1861" spans="6:6" x14ac:dyDescent="0.25">
      <c r="F1861" s="268"/>
    </row>
    <row r="1862" spans="6:6" x14ac:dyDescent="0.25">
      <c r="F1862" s="268"/>
    </row>
    <row r="1863" spans="6:6" x14ac:dyDescent="0.25">
      <c r="F1863" s="268"/>
    </row>
    <row r="1864" spans="6:6" x14ac:dyDescent="0.25">
      <c r="F1864" s="268"/>
    </row>
    <row r="1865" spans="6:6" x14ac:dyDescent="0.25">
      <c r="F1865" s="268"/>
    </row>
    <row r="1866" spans="6:6" x14ac:dyDescent="0.25">
      <c r="F1866" s="268"/>
    </row>
    <row r="1867" spans="6:6" x14ac:dyDescent="0.25">
      <c r="F1867" s="268"/>
    </row>
    <row r="1868" spans="6:6" x14ac:dyDescent="0.25">
      <c r="F1868" s="268"/>
    </row>
    <row r="1869" spans="6:6" x14ac:dyDescent="0.25">
      <c r="F1869" s="268"/>
    </row>
    <row r="1870" spans="6:6" x14ac:dyDescent="0.25">
      <c r="F1870" s="268"/>
    </row>
    <row r="1871" spans="6:6" x14ac:dyDescent="0.25">
      <c r="F1871" s="268"/>
    </row>
    <row r="1872" spans="6:6" x14ac:dyDescent="0.25">
      <c r="F1872" s="268"/>
    </row>
    <row r="1873" spans="6:6" x14ac:dyDescent="0.25">
      <c r="F1873" s="268"/>
    </row>
    <row r="1874" spans="6:6" x14ac:dyDescent="0.25">
      <c r="F1874" s="268"/>
    </row>
    <row r="1875" spans="6:6" x14ac:dyDescent="0.25">
      <c r="F1875" s="268"/>
    </row>
    <row r="1876" spans="6:6" x14ac:dyDescent="0.25">
      <c r="F1876" s="268"/>
    </row>
    <row r="1877" spans="6:6" x14ac:dyDescent="0.25">
      <c r="F1877" s="268"/>
    </row>
    <row r="1878" spans="6:6" x14ac:dyDescent="0.25">
      <c r="F1878" s="268"/>
    </row>
    <row r="1879" spans="6:6" x14ac:dyDescent="0.25">
      <c r="F1879" s="268"/>
    </row>
    <row r="1880" spans="6:6" x14ac:dyDescent="0.25">
      <c r="F1880" s="268"/>
    </row>
    <row r="1881" spans="6:6" x14ac:dyDescent="0.25">
      <c r="F1881" s="268"/>
    </row>
  </sheetData>
  <mergeCells count="3">
    <mergeCell ref="A1:G1"/>
    <mergeCell ref="H80:Q80"/>
    <mergeCell ref="F267:G267"/>
  </mergeCells>
  <conditionalFormatting sqref="F254:V254">
    <cfRule type="cellIs" dxfId="13" priority="1" stopIfTrue="1" operator="greaterThan">
      <formula>15</formula>
    </cfRule>
  </conditionalFormatting>
  <printOptions horizontalCentered="1"/>
  <pageMargins left="0.31496062992126" right="0.31496062992126" top="0.74803149606299202" bottom="0.511811023622047" header="0.511811023622047" footer="0.511811023622047"/>
  <pageSetup paperSize="9" scale="4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76"/>
  <sheetViews>
    <sheetView view="pageBreakPreview" zoomScale="110" zoomScaleNormal="100" zoomScaleSheetLayoutView="110" workbookViewId="0">
      <pane ySplit="14" topLeftCell="A238" activePane="bottomLeft" state="frozen"/>
      <selection pane="bottomLeft" activeCell="Y247" sqref="Y247"/>
    </sheetView>
  </sheetViews>
  <sheetFormatPr defaultColWidth="9.109375" defaultRowHeight="13.2" x14ac:dyDescent="0.25"/>
  <cols>
    <col min="1" max="1" width="6.33203125" style="74" customWidth="1"/>
    <col min="2" max="2" width="37.44140625" style="35" customWidth="1"/>
    <col min="3" max="3" width="11.33203125" style="267" customWidth="1"/>
    <col min="4" max="4" width="10.44140625" style="266" bestFit="1" customWidth="1"/>
    <col min="5" max="5" width="12.109375" style="265" customWidth="1"/>
    <col min="6" max="6" width="12.88671875" style="265" customWidth="1"/>
    <col min="7" max="7" width="10.109375" style="35" customWidth="1"/>
    <col min="8" max="17" width="10.109375" style="35" hidden="1" customWidth="1"/>
    <col min="18" max="19" width="14.33203125" style="35" hidden="1" customWidth="1"/>
    <col min="20" max="24" width="10.109375" style="35" hidden="1" customWidth="1"/>
    <col min="25" max="25" width="18.33203125" style="35" customWidth="1"/>
    <col min="26" max="16384" width="9.109375" style="35"/>
  </cols>
  <sheetData>
    <row r="1" spans="1:27" x14ac:dyDescent="0.25">
      <c r="A1" s="860" t="s">
        <v>66</v>
      </c>
      <c r="B1" s="845"/>
      <c r="C1" s="845"/>
      <c r="D1" s="845"/>
      <c r="E1" s="845"/>
      <c r="F1" s="845"/>
      <c r="G1" s="846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7" hidden="1" x14ac:dyDescent="0.25">
      <c r="A2" s="376"/>
      <c r="B2" s="72"/>
      <c r="C2" s="72"/>
      <c r="D2" s="72"/>
      <c r="E2" s="72"/>
      <c r="F2" s="72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7" hidden="1" x14ac:dyDescent="0.25">
      <c r="A3" s="74" t="s">
        <v>10</v>
      </c>
      <c r="F3" s="268"/>
    </row>
    <row r="4" spans="1:27" hidden="1" x14ac:dyDescent="0.25">
      <c r="B4" s="79" t="s">
        <v>25</v>
      </c>
      <c r="C4" s="396">
        <f>[3]Consolidated!C4</f>
        <v>1</v>
      </c>
      <c r="F4" s="268"/>
      <c r="Y4" s="81"/>
    </row>
    <row r="5" spans="1:27" hidden="1" x14ac:dyDescent="0.25">
      <c r="B5" s="82" t="s">
        <v>172</v>
      </c>
      <c r="F5" s="268"/>
    </row>
    <row r="6" spans="1:27" x14ac:dyDescent="0.25">
      <c r="B6" s="83"/>
    </row>
    <row r="7" spans="1:27" x14ac:dyDescent="0.25">
      <c r="A7" s="74" t="s">
        <v>23</v>
      </c>
      <c r="C7" s="267" t="s">
        <v>888</v>
      </c>
    </row>
    <row r="8" spans="1:27" x14ac:dyDescent="0.25">
      <c r="A8" s="74" t="s">
        <v>67</v>
      </c>
      <c r="C8" s="83" t="s">
        <v>391</v>
      </c>
    </row>
    <row r="9" spans="1:27" x14ac:dyDescent="0.25">
      <c r="A9" s="74" t="s">
        <v>68</v>
      </c>
      <c r="C9" s="81" t="str">
        <f>Consolidated!C9</f>
        <v xml:space="preserve">Humanitarian Response for People Affected by the Syrian Conflict </v>
      </c>
    </row>
    <row r="10" spans="1:27" x14ac:dyDescent="0.25">
      <c r="A10" s="74" t="s">
        <v>56</v>
      </c>
      <c r="C10" s="81" t="str">
        <f>Consolidated!C10</f>
        <v>January 1st 2019-December 31st 2019</v>
      </c>
    </row>
    <row r="11" spans="1:27" hidden="1" x14ac:dyDescent="0.25">
      <c r="B11" s="74"/>
      <c r="C11" s="358"/>
      <c r="D11" s="357"/>
      <c r="E11" s="376"/>
      <c r="F11" s="374" t="s">
        <v>69</v>
      </c>
      <c r="G11" s="374" t="s">
        <v>69</v>
      </c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88"/>
      <c r="Z11" s="88"/>
      <c r="AA11" s="88"/>
    </row>
    <row r="12" spans="1:27" hidden="1" x14ac:dyDescent="0.25">
      <c r="B12" s="74"/>
      <c r="C12" s="358"/>
      <c r="D12" s="357"/>
      <c r="E12" s="376"/>
      <c r="F12" s="374" t="s">
        <v>5</v>
      </c>
      <c r="G12" s="374" t="s">
        <v>5</v>
      </c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88"/>
      <c r="Z12" s="88"/>
      <c r="AA12" s="88"/>
    </row>
    <row r="13" spans="1:27" hidden="1" x14ac:dyDescent="0.25">
      <c r="A13" s="89" t="s">
        <v>47</v>
      </c>
      <c r="C13" s="358"/>
      <c r="D13" s="357"/>
      <c r="E13" s="356"/>
      <c r="F13" s="356" t="s">
        <v>20</v>
      </c>
      <c r="G13" s="91" t="s">
        <v>4</v>
      </c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88"/>
      <c r="Z13" s="88"/>
      <c r="AA13" s="88"/>
    </row>
    <row r="14" spans="1:27" s="93" customFormat="1" hidden="1" x14ac:dyDescent="0.25">
      <c r="A14" s="92"/>
      <c r="C14" s="394"/>
      <c r="D14" s="393"/>
      <c r="E14" s="392"/>
      <c r="F14" s="392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</row>
    <row r="15" spans="1:27" s="1" customFormat="1" hidden="1" x14ac:dyDescent="0.25">
      <c r="A15" s="98"/>
      <c r="C15" s="391"/>
      <c r="D15" s="390"/>
      <c r="E15" s="389"/>
      <c r="F15" s="389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</row>
    <row r="16" spans="1:27" s="107" customFormat="1" hidden="1" x14ac:dyDescent="0.25">
      <c r="A16" s="103" t="s">
        <v>21</v>
      </c>
      <c r="B16" s="39"/>
      <c r="C16" s="384"/>
      <c r="D16" s="383"/>
      <c r="E16" s="382"/>
      <c r="F16" s="320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s="107" customFormat="1" hidden="1" x14ac:dyDescent="0.25">
      <c r="A17" s="103" t="s">
        <v>32</v>
      </c>
      <c r="B17" s="108" t="s">
        <v>33</v>
      </c>
      <c r="C17" s="103" t="s">
        <v>174</v>
      </c>
      <c r="D17" s="103" t="s">
        <v>65</v>
      </c>
      <c r="E17" s="382"/>
      <c r="F17" s="320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9"/>
      <c r="Z17" s="39"/>
    </row>
    <row r="18" spans="1:26" s="107" customFormat="1" hidden="1" x14ac:dyDescent="0.25">
      <c r="A18" s="109"/>
      <c r="B18" s="110"/>
      <c r="C18" s="326" t="s">
        <v>175</v>
      </c>
      <c r="D18" s="388"/>
      <c r="E18" s="382"/>
      <c r="F18" s="385">
        <v>0</v>
      </c>
      <c r="G18" s="326">
        <f>F18*C4</f>
        <v>0</v>
      </c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9"/>
      <c r="Z18" s="39"/>
    </row>
    <row r="19" spans="1:26" s="107" customFormat="1" hidden="1" x14ac:dyDescent="0.25">
      <c r="A19" s="109"/>
      <c r="B19" s="110"/>
      <c r="C19" s="326" t="s">
        <v>176</v>
      </c>
      <c r="D19" s="388"/>
      <c r="E19" s="382"/>
      <c r="F19" s="385">
        <v>0</v>
      </c>
      <c r="G19" s="326">
        <f>F19*C4</f>
        <v>0</v>
      </c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9"/>
      <c r="Z19" s="39"/>
    </row>
    <row r="20" spans="1:26" s="107" customFormat="1" hidden="1" x14ac:dyDescent="0.25">
      <c r="A20" s="109"/>
      <c r="B20" s="110"/>
      <c r="C20" s="326" t="s">
        <v>177</v>
      </c>
      <c r="D20" s="388"/>
      <c r="E20" s="382"/>
      <c r="F20" s="385">
        <v>0</v>
      </c>
      <c r="G20" s="326">
        <f>F20*C4</f>
        <v>0</v>
      </c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9"/>
      <c r="Z20" s="39"/>
    </row>
    <row r="21" spans="1:26" s="107" customFormat="1" hidden="1" x14ac:dyDescent="0.25">
      <c r="A21" s="109"/>
      <c r="B21" s="110"/>
      <c r="C21" s="326" t="s">
        <v>178</v>
      </c>
      <c r="D21" s="388"/>
      <c r="E21" s="382"/>
      <c r="F21" s="385">
        <v>0</v>
      </c>
      <c r="G21" s="326">
        <f>F21*C4</f>
        <v>0</v>
      </c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9"/>
      <c r="Z21" s="39"/>
    </row>
    <row r="22" spans="1:26" s="107" customFormat="1" hidden="1" x14ac:dyDescent="0.25">
      <c r="A22" s="109"/>
      <c r="B22" s="110"/>
      <c r="C22" s="326" t="s">
        <v>179</v>
      </c>
      <c r="D22" s="388"/>
      <c r="E22" s="382"/>
      <c r="F22" s="385">
        <v>0</v>
      </c>
      <c r="G22" s="326">
        <f>F22*C4</f>
        <v>0</v>
      </c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9"/>
      <c r="Z22" s="39"/>
    </row>
    <row r="23" spans="1:26" s="107" customFormat="1" hidden="1" x14ac:dyDescent="0.25">
      <c r="A23" s="109"/>
      <c r="B23" s="110"/>
      <c r="C23" s="326" t="s">
        <v>180</v>
      </c>
      <c r="D23" s="388"/>
      <c r="E23" s="382"/>
      <c r="F23" s="385">
        <v>0</v>
      </c>
      <c r="G23" s="326">
        <f>F23*C4</f>
        <v>0</v>
      </c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9"/>
      <c r="Z23" s="39"/>
    </row>
    <row r="24" spans="1:26" s="107" customFormat="1" hidden="1" x14ac:dyDescent="0.25">
      <c r="A24" s="109"/>
      <c r="B24" s="110"/>
      <c r="C24" s="326" t="s">
        <v>181</v>
      </c>
      <c r="D24" s="388"/>
      <c r="E24" s="382"/>
      <c r="F24" s="385">
        <v>0</v>
      </c>
      <c r="G24" s="326">
        <f>F24*C4</f>
        <v>0</v>
      </c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9"/>
      <c r="Z24" s="39"/>
    </row>
    <row r="25" spans="1:26" s="107" customFormat="1" hidden="1" x14ac:dyDescent="0.25">
      <c r="A25" s="109"/>
      <c r="B25" s="110"/>
      <c r="C25" s="326" t="s">
        <v>182</v>
      </c>
      <c r="D25" s="388"/>
      <c r="E25" s="382"/>
      <c r="F25" s="385">
        <v>0</v>
      </c>
      <c r="G25" s="326">
        <f>F25*C4</f>
        <v>0</v>
      </c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9"/>
      <c r="Z25" s="39"/>
    </row>
    <row r="26" spans="1:26" s="107" customFormat="1" hidden="1" x14ac:dyDescent="0.25">
      <c r="A26" s="109"/>
      <c r="B26" s="110"/>
      <c r="C26" s="326" t="s">
        <v>183</v>
      </c>
      <c r="D26" s="388"/>
      <c r="E26" s="382"/>
      <c r="F26" s="385">
        <v>0</v>
      </c>
      <c r="G26" s="326">
        <f>F26*C4</f>
        <v>0</v>
      </c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9"/>
      <c r="Z26" s="39"/>
    </row>
    <row r="27" spans="1:26" s="107" customFormat="1" hidden="1" x14ac:dyDescent="0.25">
      <c r="A27" s="109"/>
      <c r="B27" s="110"/>
      <c r="C27" s="326" t="s">
        <v>184</v>
      </c>
      <c r="D27" s="388"/>
      <c r="E27" s="382"/>
      <c r="F27" s="385">
        <v>0</v>
      </c>
      <c r="G27" s="326">
        <f>F27*C4</f>
        <v>0</v>
      </c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9"/>
      <c r="Z27" s="39"/>
    </row>
    <row r="28" spans="1:26" s="107" customFormat="1" hidden="1" x14ac:dyDescent="0.25">
      <c r="A28" s="103"/>
      <c r="B28" s="108" t="s">
        <v>173</v>
      </c>
      <c r="C28" s="384"/>
      <c r="D28" s="383"/>
      <c r="E28" s="382"/>
      <c r="F28" s="326">
        <f>SUM(F18:F27)</f>
        <v>0</v>
      </c>
      <c r="G28" s="326">
        <f>SUM(G18:G27)</f>
        <v>0</v>
      </c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9"/>
      <c r="Z28" s="39"/>
    </row>
    <row r="29" spans="1:26" s="107" customFormat="1" hidden="1" x14ac:dyDescent="0.25">
      <c r="A29" s="103"/>
      <c r="B29" s="113"/>
      <c r="C29" s="384"/>
      <c r="D29" s="383"/>
      <c r="E29" s="382"/>
      <c r="F29" s="320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9"/>
      <c r="Z29" s="39"/>
    </row>
    <row r="30" spans="1:26" s="107" customFormat="1" hidden="1" x14ac:dyDescent="0.25">
      <c r="A30" s="103" t="s">
        <v>34</v>
      </c>
      <c r="B30" s="39"/>
      <c r="C30" s="384"/>
      <c r="D30" s="383"/>
      <c r="E30" s="382"/>
      <c r="F30" s="320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9"/>
      <c r="Z30" s="39"/>
    </row>
    <row r="31" spans="1:26" s="107" customFormat="1" hidden="1" x14ac:dyDescent="0.25">
      <c r="A31" s="103" t="s">
        <v>32</v>
      </c>
      <c r="B31" s="108" t="s">
        <v>33</v>
      </c>
      <c r="C31" s="384" t="s">
        <v>174</v>
      </c>
      <c r="D31" s="383"/>
      <c r="E31" s="382"/>
      <c r="F31" s="320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9"/>
      <c r="Z31" s="39"/>
    </row>
    <row r="32" spans="1:26" s="107" customFormat="1" hidden="1" x14ac:dyDescent="0.25">
      <c r="A32" s="114"/>
      <c r="B32" s="110"/>
      <c r="C32" s="386"/>
      <c r="D32" s="383"/>
      <c r="E32" s="382"/>
      <c r="F32" s="385">
        <v>0</v>
      </c>
      <c r="G32" s="326">
        <f>(C4)*F32</f>
        <v>0</v>
      </c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9"/>
      <c r="Z32" s="39"/>
    </row>
    <row r="33" spans="1:26" s="107" customFormat="1" hidden="1" x14ac:dyDescent="0.25">
      <c r="A33" s="114"/>
      <c r="B33" s="110"/>
      <c r="C33" s="386"/>
      <c r="D33" s="383"/>
      <c r="E33" s="382"/>
      <c r="F33" s="385">
        <v>0</v>
      </c>
      <c r="G33" s="326">
        <f>F33*C4</f>
        <v>0</v>
      </c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9"/>
      <c r="Z33" s="39"/>
    </row>
    <row r="34" spans="1:26" s="107" customFormat="1" hidden="1" x14ac:dyDescent="0.25">
      <c r="A34" s="114"/>
      <c r="B34" s="110"/>
      <c r="C34" s="386"/>
      <c r="D34" s="383"/>
      <c r="E34" s="382"/>
      <c r="F34" s="385">
        <v>0</v>
      </c>
      <c r="G34" s="326">
        <f>F34*C4</f>
        <v>0</v>
      </c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9"/>
      <c r="Z34" s="39"/>
    </row>
    <row r="35" spans="1:26" s="107" customFormat="1" hidden="1" x14ac:dyDescent="0.25">
      <c r="A35" s="114"/>
      <c r="B35" s="110"/>
      <c r="C35" s="386"/>
      <c r="D35" s="383"/>
      <c r="E35" s="382"/>
      <c r="F35" s="385">
        <v>0</v>
      </c>
      <c r="G35" s="326">
        <f>F35*C4</f>
        <v>0</v>
      </c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9"/>
      <c r="Z35" s="39"/>
    </row>
    <row r="36" spans="1:26" s="107" customFormat="1" hidden="1" x14ac:dyDescent="0.25">
      <c r="A36" s="114"/>
      <c r="B36" s="110"/>
      <c r="C36" s="386"/>
      <c r="D36" s="383"/>
      <c r="E36" s="382"/>
      <c r="F36" s="385">
        <v>0</v>
      </c>
      <c r="G36" s="326">
        <f>F36*C4</f>
        <v>0</v>
      </c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9"/>
      <c r="Z36" s="39"/>
    </row>
    <row r="37" spans="1:26" s="107" customFormat="1" hidden="1" x14ac:dyDescent="0.25">
      <c r="A37" s="114"/>
      <c r="B37" s="110"/>
      <c r="C37" s="386"/>
      <c r="D37" s="383"/>
      <c r="E37" s="382"/>
      <c r="F37" s="385">
        <v>0</v>
      </c>
      <c r="G37" s="326">
        <f>F37*C4</f>
        <v>0</v>
      </c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9"/>
      <c r="Z37" s="39"/>
    </row>
    <row r="38" spans="1:26" s="107" customFormat="1" hidden="1" x14ac:dyDescent="0.25">
      <c r="A38" s="114"/>
      <c r="B38" s="110"/>
      <c r="C38" s="386"/>
      <c r="D38" s="383"/>
      <c r="E38" s="382"/>
      <c r="F38" s="385">
        <v>0</v>
      </c>
      <c r="G38" s="326">
        <f>F38*C4</f>
        <v>0</v>
      </c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9"/>
      <c r="Z38" s="39"/>
    </row>
    <row r="39" spans="1:26" s="107" customFormat="1" hidden="1" x14ac:dyDescent="0.25">
      <c r="A39" s="114"/>
      <c r="B39" s="110"/>
      <c r="C39" s="386"/>
      <c r="D39" s="383"/>
      <c r="E39" s="382"/>
      <c r="F39" s="385">
        <v>0</v>
      </c>
      <c r="G39" s="326">
        <f>F39*C4</f>
        <v>0</v>
      </c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9"/>
      <c r="Z39" s="39"/>
    </row>
    <row r="40" spans="1:26" s="107" customFormat="1" hidden="1" x14ac:dyDescent="0.25">
      <c r="A40" s="114"/>
      <c r="B40" s="110"/>
      <c r="C40" s="386"/>
      <c r="D40" s="383"/>
      <c r="E40" s="382"/>
      <c r="F40" s="385">
        <v>0</v>
      </c>
      <c r="G40" s="326">
        <f>F40*C4</f>
        <v>0</v>
      </c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9"/>
      <c r="Z40" s="39"/>
    </row>
    <row r="41" spans="1:26" s="107" customFormat="1" hidden="1" x14ac:dyDescent="0.25">
      <c r="A41" s="114"/>
      <c r="B41" s="110"/>
      <c r="C41" s="386"/>
      <c r="D41" s="383"/>
      <c r="E41" s="382"/>
      <c r="F41" s="385">
        <v>0</v>
      </c>
      <c r="G41" s="326">
        <f>F41*C4</f>
        <v>0</v>
      </c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9"/>
      <c r="Z41" s="39"/>
    </row>
    <row r="42" spans="1:26" s="107" customFormat="1" hidden="1" x14ac:dyDescent="0.25">
      <c r="A42" s="103"/>
      <c r="B42" s="108" t="s">
        <v>173</v>
      </c>
      <c r="C42" s="384"/>
      <c r="D42" s="383"/>
      <c r="E42" s="382"/>
      <c r="F42" s="326">
        <f>SUM(F32:F41)</f>
        <v>0</v>
      </c>
      <c r="G42" s="326">
        <f>SUM(G32:G41)</f>
        <v>0</v>
      </c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9"/>
      <c r="Z42" s="39"/>
    </row>
    <row r="43" spans="1:26" s="107" customFormat="1" hidden="1" x14ac:dyDescent="0.25">
      <c r="A43" s="103"/>
      <c r="B43" s="103" t="s">
        <v>64</v>
      </c>
      <c r="C43" s="384"/>
      <c r="D43" s="383"/>
      <c r="E43" s="382"/>
      <c r="F43" s="387">
        <v>0</v>
      </c>
      <c r="G43" s="326">
        <f>F43*C4</f>
        <v>0</v>
      </c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9"/>
      <c r="Z43" s="39"/>
    </row>
    <row r="44" spans="1:26" s="107" customFormat="1" hidden="1" x14ac:dyDescent="0.25">
      <c r="A44" s="103"/>
      <c r="B44" s="39"/>
      <c r="C44" s="384"/>
      <c r="D44" s="383"/>
      <c r="E44" s="382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9"/>
      <c r="Z44" s="39"/>
    </row>
    <row r="45" spans="1:26" s="107" customFormat="1" hidden="1" x14ac:dyDescent="0.25">
      <c r="A45" s="103" t="s">
        <v>35</v>
      </c>
      <c r="B45" s="39"/>
      <c r="C45" s="384"/>
      <c r="D45" s="383"/>
      <c r="E45" s="382"/>
      <c r="F45" s="320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9"/>
      <c r="Z45" s="39"/>
    </row>
    <row r="46" spans="1:26" s="107" customFormat="1" hidden="1" x14ac:dyDescent="0.25">
      <c r="A46" s="103" t="s">
        <v>32</v>
      </c>
      <c r="B46" s="108" t="s">
        <v>33</v>
      </c>
      <c r="C46" s="384" t="s">
        <v>174</v>
      </c>
      <c r="D46" s="383"/>
      <c r="E46" s="382"/>
      <c r="F46" s="320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9"/>
      <c r="Z46" s="39"/>
    </row>
    <row r="47" spans="1:26" s="107" customFormat="1" hidden="1" x14ac:dyDescent="0.25">
      <c r="A47" s="114"/>
      <c r="B47" s="110"/>
      <c r="C47" s="386"/>
      <c r="D47" s="383"/>
      <c r="E47" s="382"/>
      <c r="F47" s="385">
        <v>0</v>
      </c>
      <c r="G47" s="326">
        <f>F47*C4</f>
        <v>0</v>
      </c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9"/>
      <c r="Z47" s="39"/>
    </row>
    <row r="48" spans="1:26" s="107" customFormat="1" hidden="1" x14ac:dyDescent="0.25">
      <c r="A48" s="114"/>
      <c r="B48" s="110"/>
      <c r="C48" s="386"/>
      <c r="D48" s="383"/>
      <c r="E48" s="382"/>
      <c r="F48" s="385">
        <v>0</v>
      </c>
      <c r="G48" s="326">
        <f>F48*C4</f>
        <v>0</v>
      </c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9"/>
      <c r="Z48" s="39"/>
    </row>
    <row r="49" spans="1:26" s="107" customFormat="1" hidden="1" x14ac:dyDescent="0.25">
      <c r="A49" s="114"/>
      <c r="B49" s="110"/>
      <c r="C49" s="386"/>
      <c r="D49" s="383"/>
      <c r="E49" s="382"/>
      <c r="F49" s="385">
        <v>0</v>
      </c>
      <c r="G49" s="326">
        <f>F49*C4</f>
        <v>0</v>
      </c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9"/>
      <c r="Z49" s="39"/>
    </row>
    <row r="50" spans="1:26" s="107" customFormat="1" hidden="1" x14ac:dyDescent="0.25">
      <c r="A50" s="114"/>
      <c r="B50" s="110"/>
      <c r="C50" s="386"/>
      <c r="D50" s="383"/>
      <c r="E50" s="382"/>
      <c r="F50" s="385">
        <v>0</v>
      </c>
      <c r="G50" s="326">
        <f>F50*C4</f>
        <v>0</v>
      </c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9"/>
      <c r="Z50" s="39"/>
    </row>
    <row r="51" spans="1:26" s="107" customFormat="1" hidden="1" x14ac:dyDescent="0.25">
      <c r="A51" s="114"/>
      <c r="B51" s="110"/>
      <c r="C51" s="386"/>
      <c r="D51" s="383"/>
      <c r="E51" s="382"/>
      <c r="F51" s="385">
        <v>0</v>
      </c>
      <c r="G51" s="326">
        <f>F51*C4</f>
        <v>0</v>
      </c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9"/>
      <c r="Z51" s="39"/>
    </row>
    <row r="52" spans="1:26" s="107" customFormat="1" hidden="1" x14ac:dyDescent="0.25">
      <c r="A52" s="114"/>
      <c r="B52" s="110"/>
      <c r="C52" s="386"/>
      <c r="D52" s="383"/>
      <c r="E52" s="382"/>
      <c r="F52" s="385">
        <v>0</v>
      </c>
      <c r="G52" s="326">
        <f>F52*C4</f>
        <v>0</v>
      </c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9"/>
      <c r="Z52" s="39"/>
    </row>
    <row r="53" spans="1:26" s="107" customFormat="1" hidden="1" x14ac:dyDescent="0.25">
      <c r="A53" s="114"/>
      <c r="B53" s="110"/>
      <c r="C53" s="386"/>
      <c r="D53" s="383"/>
      <c r="E53" s="382"/>
      <c r="F53" s="385">
        <v>0</v>
      </c>
      <c r="G53" s="326">
        <f>F53*C4</f>
        <v>0</v>
      </c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9"/>
      <c r="Z53" s="39"/>
    </row>
    <row r="54" spans="1:26" s="107" customFormat="1" hidden="1" x14ac:dyDescent="0.25">
      <c r="A54" s="114"/>
      <c r="B54" s="110"/>
      <c r="C54" s="386"/>
      <c r="D54" s="383"/>
      <c r="E54" s="382"/>
      <c r="F54" s="385">
        <v>0</v>
      </c>
      <c r="G54" s="326">
        <f>F54*C4</f>
        <v>0</v>
      </c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9"/>
      <c r="Z54" s="39"/>
    </row>
    <row r="55" spans="1:26" s="107" customFormat="1" hidden="1" x14ac:dyDescent="0.25">
      <c r="A55" s="114"/>
      <c r="B55" s="110"/>
      <c r="C55" s="386"/>
      <c r="D55" s="383"/>
      <c r="E55" s="382"/>
      <c r="F55" s="385">
        <v>0</v>
      </c>
      <c r="G55" s="326">
        <f>F55*C4</f>
        <v>0</v>
      </c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9"/>
      <c r="Z55" s="39"/>
    </row>
    <row r="56" spans="1:26" s="107" customFormat="1" hidden="1" x14ac:dyDescent="0.25">
      <c r="A56" s="114"/>
      <c r="B56" s="110"/>
      <c r="C56" s="386"/>
      <c r="D56" s="383"/>
      <c r="E56" s="382"/>
      <c r="F56" s="385">
        <v>0</v>
      </c>
      <c r="G56" s="326">
        <f>F56*C4</f>
        <v>0</v>
      </c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9"/>
      <c r="Z56" s="39"/>
    </row>
    <row r="57" spans="1:26" s="107" customFormat="1" hidden="1" x14ac:dyDescent="0.25">
      <c r="A57" s="103"/>
      <c r="B57" s="108" t="s">
        <v>173</v>
      </c>
      <c r="C57" s="384"/>
      <c r="D57" s="383"/>
      <c r="E57" s="382"/>
      <c r="F57" s="371">
        <f>SUM(F47:F56)</f>
        <v>0</v>
      </c>
      <c r="G57" s="326">
        <f>SUM(G47:G56)</f>
        <v>0</v>
      </c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9"/>
      <c r="Z57" s="39"/>
    </row>
    <row r="58" spans="1:26" s="107" customFormat="1" hidden="1" x14ac:dyDescent="0.25">
      <c r="A58" s="103"/>
      <c r="B58" s="39"/>
      <c r="C58" s="384"/>
      <c r="D58" s="383"/>
      <c r="E58" s="382"/>
      <c r="F58" s="320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  <c r="T58" s="326"/>
      <c r="U58" s="326"/>
      <c r="V58" s="326"/>
      <c r="W58" s="326"/>
      <c r="X58" s="326"/>
      <c r="Y58" s="39"/>
      <c r="Z58" s="39"/>
    </row>
    <row r="59" spans="1:26" s="107" customFormat="1" hidden="1" x14ac:dyDescent="0.25">
      <c r="A59" s="103" t="s">
        <v>22</v>
      </c>
      <c r="B59" s="39"/>
      <c r="C59" s="384"/>
      <c r="D59" s="383"/>
      <c r="E59" s="382"/>
      <c r="F59" s="326"/>
      <c r="G59" s="326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  <c r="T59" s="326"/>
      <c r="U59" s="326"/>
      <c r="V59" s="326"/>
      <c r="W59" s="326"/>
      <c r="X59" s="326"/>
      <c r="Y59" s="39"/>
      <c r="Z59" s="39"/>
    </row>
    <row r="60" spans="1:26" s="107" customFormat="1" hidden="1" x14ac:dyDescent="0.25">
      <c r="A60" s="103" t="s">
        <v>32</v>
      </c>
      <c r="B60" s="108" t="s">
        <v>33</v>
      </c>
      <c r="C60" s="384" t="s">
        <v>174</v>
      </c>
      <c r="D60" s="383"/>
      <c r="E60" s="382"/>
      <c r="F60" s="320"/>
      <c r="G60" s="326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  <c r="T60" s="326"/>
      <c r="U60" s="326"/>
      <c r="V60" s="326"/>
      <c r="W60" s="326"/>
      <c r="X60" s="326"/>
      <c r="Y60" s="39"/>
      <c r="Z60" s="39"/>
    </row>
    <row r="61" spans="1:26" s="107" customFormat="1" hidden="1" x14ac:dyDescent="0.25">
      <c r="A61" s="114"/>
      <c r="B61" s="110"/>
      <c r="C61" s="386"/>
      <c r="D61" s="383"/>
      <c r="E61" s="382"/>
      <c r="F61" s="385">
        <v>0</v>
      </c>
      <c r="G61" s="326">
        <f>F61*C4</f>
        <v>0</v>
      </c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  <c r="T61" s="326"/>
      <c r="U61" s="326"/>
      <c r="V61" s="326"/>
      <c r="W61" s="326"/>
      <c r="X61" s="326"/>
      <c r="Y61" s="39"/>
      <c r="Z61" s="39"/>
    </row>
    <row r="62" spans="1:26" s="107" customFormat="1" hidden="1" x14ac:dyDescent="0.25">
      <c r="A62" s="114"/>
      <c r="B62" s="110"/>
      <c r="C62" s="386"/>
      <c r="D62" s="383"/>
      <c r="E62" s="382"/>
      <c r="F62" s="385">
        <v>0</v>
      </c>
      <c r="G62" s="326">
        <f>F62*C4</f>
        <v>0</v>
      </c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9"/>
      <c r="Z62" s="39"/>
    </row>
    <row r="63" spans="1:26" s="107" customFormat="1" hidden="1" x14ac:dyDescent="0.25">
      <c r="A63" s="114"/>
      <c r="B63" s="110"/>
      <c r="C63" s="386"/>
      <c r="D63" s="383"/>
      <c r="E63" s="382"/>
      <c r="F63" s="385">
        <v>0</v>
      </c>
      <c r="G63" s="326">
        <f>F63*C4</f>
        <v>0</v>
      </c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9"/>
      <c r="Z63" s="39"/>
    </row>
    <row r="64" spans="1:26" s="107" customFormat="1" hidden="1" x14ac:dyDescent="0.25">
      <c r="A64" s="114"/>
      <c r="B64" s="110"/>
      <c r="C64" s="386"/>
      <c r="D64" s="383"/>
      <c r="E64" s="382"/>
      <c r="F64" s="385">
        <v>0</v>
      </c>
      <c r="G64" s="326">
        <f>F64*C4</f>
        <v>0</v>
      </c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6"/>
      <c r="Y64" s="39"/>
      <c r="Z64" s="39"/>
    </row>
    <row r="65" spans="1:26" s="107" customFormat="1" hidden="1" x14ac:dyDescent="0.25">
      <c r="A65" s="114"/>
      <c r="B65" s="110"/>
      <c r="C65" s="386"/>
      <c r="D65" s="383"/>
      <c r="E65" s="382"/>
      <c r="F65" s="385">
        <v>0</v>
      </c>
      <c r="G65" s="326">
        <f>F65*C4</f>
        <v>0</v>
      </c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  <c r="T65" s="326"/>
      <c r="U65" s="326"/>
      <c r="V65" s="326"/>
      <c r="W65" s="326"/>
      <c r="X65" s="326"/>
      <c r="Y65" s="39"/>
      <c r="Z65" s="39"/>
    </row>
    <row r="66" spans="1:26" s="107" customFormat="1" hidden="1" x14ac:dyDescent="0.25">
      <c r="A66" s="114"/>
      <c r="B66" s="110"/>
      <c r="C66" s="386"/>
      <c r="D66" s="383"/>
      <c r="E66" s="382"/>
      <c r="F66" s="385">
        <v>0</v>
      </c>
      <c r="G66" s="326">
        <f>F66*C4</f>
        <v>0</v>
      </c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  <c r="T66" s="326"/>
      <c r="U66" s="326"/>
      <c r="V66" s="326"/>
      <c r="W66" s="326"/>
      <c r="X66" s="326"/>
      <c r="Y66" s="39"/>
      <c r="Z66" s="39"/>
    </row>
    <row r="67" spans="1:26" s="107" customFormat="1" hidden="1" x14ac:dyDescent="0.25">
      <c r="A67" s="114"/>
      <c r="B67" s="110"/>
      <c r="C67" s="386"/>
      <c r="D67" s="383"/>
      <c r="E67" s="382"/>
      <c r="F67" s="385">
        <v>0</v>
      </c>
      <c r="G67" s="326">
        <f>F67*C4</f>
        <v>0</v>
      </c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6"/>
      <c r="Y67" s="39"/>
      <c r="Z67" s="39"/>
    </row>
    <row r="68" spans="1:26" s="107" customFormat="1" hidden="1" x14ac:dyDescent="0.25">
      <c r="A68" s="114"/>
      <c r="B68" s="110"/>
      <c r="C68" s="386"/>
      <c r="D68" s="383"/>
      <c r="E68" s="382"/>
      <c r="F68" s="385">
        <v>0</v>
      </c>
      <c r="G68" s="326">
        <f>F68*C4</f>
        <v>0</v>
      </c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  <c r="T68" s="326"/>
      <c r="U68" s="326"/>
      <c r="V68" s="326"/>
      <c r="W68" s="326"/>
      <c r="X68" s="326"/>
      <c r="Y68" s="39"/>
      <c r="Z68" s="39"/>
    </row>
    <row r="69" spans="1:26" s="107" customFormat="1" hidden="1" x14ac:dyDescent="0.25">
      <c r="A69" s="114"/>
      <c r="B69" s="110"/>
      <c r="C69" s="386"/>
      <c r="D69" s="383"/>
      <c r="E69" s="382"/>
      <c r="F69" s="385">
        <v>0</v>
      </c>
      <c r="G69" s="326">
        <f>F69*C4</f>
        <v>0</v>
      </c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  <c r="T69" s="326"/>
      <c r="U69" s="326"/>
      <c r="V69" s="326"/>
      <c r="W69" s="326"/>
      <c r="X69" s="326"/>
      <c r="Y69" s="39"/>
      <c r="Z69" s="39"/>
    </row>
    <row r="70" spans="1:26" s="107" customFormat="1" hidden="1" x14ac:dyDescent="0.25">
      <c r="A70" s="114"/>
      <c r="B70" s="110"/>
      <c r="C70" s="386"/>
      <c r="D70" s="383"/>
      <c r="E70" s="382"/>
      <c r="F70" s="385">
        <v>0</v>
      </c>
      <c r="G70" s="326">
        <f>F70*C4</f>
        <v>0</v>
      </c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9"/>
      <c r="Z70" s="39"/>
    </row>
    <row r="71" spans="1:26" s="107" customFormat="1" hidden="1" x14ac:dyDescent="0.25">
      <c r="A71" s="103"/>
      <c r="B71" s="108" t="s">
        <v>173</v>
      </c>
      <c r="C71" s="384"/>
      <c r="D71" s="383"/>
      <c r="E71" s="382"/>
      <c r="F71" s="371">
        <f>SUM(F61:F70)</f>
        <v>0</v>
      </c>
      <c r="G71" s="326">
        <f>SUM(G61:G70)</f>
        <v>0</v>
      </c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  <c r="T71" s="326"/>
      <c r="U71" s="326"/>
      <c r="V71" s="326"/>
      <c r="W71" s="326"/>
      <c r="X71" s="326"/>
      <c r="Y71" s="39"/>
      <c r="Z71" s="39"/>
    </row>
    <row r="72" spans="1:26" s="107" customFormat="1" hidden="1" x14ac:dyDescent="0.25">
      <c r="A72" s="103"/>
      <c r="B72" s="39"/>
      <c r="C72" s="384"/>
      <c r="D72" s="383"/>
      <c r="E72" s="382"/>
      <c r="F72" s="320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s="107" customFormat="1" ht="13.8" hidden="1" thickBot="1" x14ac:dyDescent="0.3">
      <c r="A73" s="117" t="s">
        <v>3</v>
      </c>
      <c r="B73" s="117"/>
      <c r="C73" s="282"/>
      <c r="D73" s="381"/>
      <c r="E73" s="380"/>
      <c r="F73" s="279">
        <f>SUM(F28+F42+F43+F57+F71)</f>
        <v>0</v>
      </c>
      <c r="G73" s="279">
        <f>SUM(G28+G42+G43+G57+G71)</f>
        <v>0</v>
      </c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39"/>
      <c r="Z73" s="39"/>
    </row>
    <row r="74" spans="1:26" s="107" customFormat="1" x14ac:dyDescent="0.25">
      <c r="A74" s="103"/>
      <c r="B74" s="103"/>
      <c r="C74" s="294"/>
      <c r="D74" s="379"/>
      <c r="E74" s="378"/>
      <c r="F74" s="377"/>
      <c r="G74" s="377"/>
      <c r="H74" s="377"/>
      <c r="I74" s="377"/>
      <c r="J74" s="377"/>
      <c r="K74" s="377"/>
      <c r="L74" s="377"/>
      <c r="M74" s="377"/>
      <c r="N74" s="377"/>
      <c r="O74" s="377"/>
      <c r="P74" s="377"/>
      <c r="Q74" s="377"/>
      <c r="R74" s="377"/>
      <c r="S74" s="377"/>
      <c r="T74" s="377"/>
      <c r="U74" s="377"/>
      <c r="V74" s="377"/>
      <c r="W74" s="377"/>
      <c r="X74" s="377"/>
      <c r="Y74" s="39"/>
      <c r="Z74" s="39"/>
    </row>
    <row r="75" spans="1:26" s="39" customFormat="1" ht="13.8" thickBot="1" x14ac:dyDescent="0.3">
      <c r="A75" s="74" t="s">
        <v>6</v>
      </c>
      <c r="B75" s="103"/>
      <c r="C75" s="294"/>
      <c r="D75" s="293"/>
      <c r="E75" s="292"/>
      <c r="F75" s="320"/>
    </row>
    <row r="76" spans="1:26" ht="13.8" thickBot="1" x14ac:dyDescent="0.3">
      <c r="A76" s="35"/>
      <c r="B76" s="74" t="s">
        <v>306</v>
      </c>
      <c r="C76" s="358" t="s">
        <v>30</v>
      </c>
      <c r="D76" s="357" t="s">
        <v>31</v>
      </c>
      <c r="E76" s="376" t="s">
        <v>0</v>
      </c>
      <c r="F76" s="374" t="s">
        <v>69</v>
      </c>
      <c r="G76" s="374" t="s">
        <v>69</v>
      </c>
      <c r="H76" s="847" t="s">
        <v>185</v>
      </c>
      <c r="I76" s="848"/>
      <c r="J76" s="848"/>
      <c r="K76" s="848"/>
      <c r="L76" s="848"/>
      <c r="M76" s="848"/>
      <c r="N76" s="848"/>
      <c r="O76" s="848"/>
      <c r="P76" s="848"/>
      <c r="Q76" s="849"/>
      <c r="R76" s="374" t="s">
        <v>302</v>
      </c>
      <c r="S76" s="374" t="s">
        <v>303</v>
      </c>
      <c r="T76" s="374" t="s">
        <v>303</v>
      </c>
      <c r="U76" s="374" t="s">
        <v>302</v>
      </c>
      <c r="V76" s="374" t="s">
        <v>303</v>
      </c>
      <c r="W76" s="91" t="s">
        <v>303</v>
      </c>
      <c r="X76" s="91" t="s">
        <v>305</v>
      </c>
    </row>
    <row r="77" spans="1:26" ht="13.8" thickBot="1" x14ac:dyDescent="0.3">
      <c r="A77" s="35"/>
      <c r="B77" s="74"/>
      <c r="C77" s="358"/>
      <c r="D77" s="357"/>
      <c r="E77" s="376"/>
      <c r="F77" s="374" t="s">
        <v>5</v>
      </c>
      <c r="G77" s="374" t="s">
        <v>5</v>
      </c>
      <c r="H77" s="375" t="s">
        <v>175</v>
      </c>
      <c r="I77" s="375" t="s">
        <v>176</v>
      </c>
      <c r="J77" s="375" t="s">
        <v>177</v>
      </c>
      <c r="K77" s="375" t="s">
        <v>178</v>
      </c>
      <c r="L77" s="375" t="s">
        <v>179</v>
      </c>
      <c r="M77" s="375" t="s">
        <v>180</v>
      </c>
      <c r="N77" s="375" t="s">
        <v>181</v>
      </c>
      <c r="O77" s="375" t="s">
        <v>182</v>
      </c>
      <c r="P77" s="375" t="s">
        <v>183</v>
      </c>
      <c r="Q77" s="375" t="s">
        <v>184</v>
      </c>
      <c r="R77" s="356"/>
      <c r="S77" s="374"/>
      <c r="T77" s="374"/>
      <c r="U77" s="374"/>
      <c r="V77" s="374"/>
      <c r="W77" s="88"/>
      <c r="X77" s="88"/>
    </row>
    <row r="78" spans="1:26" x14ac:dyDescent="0.25">
      <c r="B78" s="74"/>
      <c r="C78" s="358" t="s">
        <v>1</v>
      </c>
      <c r="D78" s="357" t="s">
        <v>2</v>
      </c>
      <c r="E78" s="356" t="s">
        <v>20</v>
      </c>
      <c r="F78" s="356" t="s">
        <v>20</v>
      </c>
      <c r="G78" s="91" t="s">
        <v>4</v>
      </c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356" t="s">
        <v>20</v>
      </c>
      <c r="S78" s="356" t="s">
        <v>20</v>
      </c>
      <c r="T78" s="219" t="s">
        <v>304</v>
      </c>
      <c r="U78" s="219" t="s">
        <v>4</v>
      </c>
      <c r="V78" s="219" t="s">
        <v>4</v>
      </c>
      <c r="W78" s="91" t="s">
        <v>304</v>
      </c>
      <c r="X78" s="91"/>
    </row>
    <row r="79" spans="1:26" x14ac:dyDescent="0.25">
      <c r="A79" s="74" t="s">
        <v>83</v>
      </c>
      <c r="B79" s="74"/>
      <c r="C79" s="358"/>
      <c r="D79" s="357"/>
      <c r="E79" s="356"/>
      <c r="F79" s="356"/>
      <c r="G79" s="91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20"/>
      <c r="S79" s="220"/>
      <c r="T79" s="220"/>
      <c r="U79" s="220"/>
      <c r="V79" s="220"/>
      <c r="W79" s="220"/>
      <c r="X79" s="220"/>
    </row>
    <row r="80" spans="1:26" x14ac:dyDescent="0.25">
      <c r="A80" s="129">
        <v>1</v>
      </c>
      <c r="B80" s="130" t="s">
        <v>84</v>
      </c>
      <c r="C80" s="329"/>
      <c r="D80" s="328"/>
      <c r="E80" s="327"/>
      <c r="F80" s="373"/>
      <c r="G80" s="137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21"/>
      <c r="S80" s="221"/>
      <c r="T80" s="221"/>
      <c r="U80" s="221"/>
      <c r="V80" s="221"/>
      <c r="W80" s="221"/>
      <c r="X80" s="221"/>
    </row>
    <row r="81" spans="1:24" x14ac:dyDescent="0.25">
      <c r="A81" s="200">
        <v>1.1000000000000001</v>
      </c>
      <c r="B81" s="113" t="s">
        <v>87</v>
      </c>
      <c r="C81" s="310"/>
      <c r="D81" s="339"/>
      <c r="E81" s="338"/>
      <c r="F81" s="372">
        <v>0</v>
      </c>
      <c r="G81" s="32">
        <f>F81*C4</f>
        <v>0</v>
      </c>
      <c r="H81" s="240"/>
      <c r="I81" s="240"/>
      <c r="J81" s="240"/>
      <c r="K81" s="240"/>
      <c r="L81" s="240"/>
      <c r="M81" s="240"/>
      <c r="N81" s="240"/>
      <c r="O81" s="240"/>
      <c r="P81" s="240"/>
      <c r="Q81" s="249"/>
      <c r="R81" s="263"/>
      <c r="S81" s="222">
        <f>R81-F81</f>
        <v>0</v>
      </c>
      <c r="T81" s="228">
        <f>IF(F81=0,0,S81/F81)</f>
        <v>0</v>
      </c>
      <c r="U81" s="222">
        <f>R81*$C$4</f>
        <v>0</v>
      </c>
      <c r="V81" s="222">
        <f>U81-G81</f>
        <v>0</v>
      </c>
      <c r="W81" s="228">
        <f>IF(G81=0,0,V81/G81)</f>
        <v>0</v>
      </c>
      <c r="X81" s="228"/>
    </row>
    <row r="82" spans="1:24" x14ac:dyDescent="0.25">
      <c r="A82" s="103" t="s">
        <v>110</v>
      </c>
      <c r="B82" s="113"/>
      <c r="C82" s="371"/>
      <c r="D82" s="370"/>
      <c r="E82" s="320"/>
      <c r="F82" s="320"/>
      <c r="G82" s="32"/>
      <c r="H82" s="239"/>
      <c r="I82" s="239"/>
      <c r="J82" s="239"/>
      <c r="K82" s="239"/>
      <c r="L82" s="239"/>
      <c r="M82" s="239"/>
      <c r="N82" s="239"/>
      <c r="O82" s="239"/>
      <c r="P82" s="239"/>
      <c r="Q82" s="250"/>
      <c r="R82" s="255"/>
      <c r="S82" s="222"/>
      <c r="T82" s="228"/>
      <c r="U82" s="222"/>
      <c r="V82" s="222"/>
      <c r="W82" s="228"/>
      <c r="X82" s="228"/>
    </row>
    <row r="83" spans="1:24" ht="13.8" x14ac:dyDescent="0.3">
      <c r="A83" s="209" t="s">
        <v>86</v>
      </c>
      <c r="B83" s="773" t="s">
        <v>889</v>
      </c>
      <c r="C83" s="310"/>
      <c r="D83" s="339">
        <v>8</v>
      </c>
      <c r="E83" s="338">
        <v>700</v>
      </c>
      <c r="F83" s="369">
        <f t="shared" ref="F83:F88" si="0">D83*E83</f>
        <v>5600</v>
      </c>
      <c r="G83" s="32">
        <f>F83*C4</f>
        <v>5600</v>
      </c>
      <c r="H83" s="239"/>
      <c r="I83" s="239"/>
      <c r="J83" s="239"/>
      <c r="K83" s="239"/>
      <c r="L83" s="239"/>
      <c r="M83" s="239"/>
      <c r="N83" s="239"/>
      <c r="O83" s="239"/>
      <c r="P83" s="239"/>
      <c r="Q83" s="250"/>
      <c r="R83" s="261"/>
      <c r="S83" s="222">
        <f t="shared" ref="S83:S146" si="1">R83-F83</f>
        <v>-5600</v>
      </c>
      <c r="T83" s="228">
        <f t="shared" ref="T83:T146" si="2">IF(F83=0,0,S83/F83)</f>
        <v>-1</v>
      </c>
      <c r="U83" s="222">
        <f t="shared" ref="U83:U146" si="3">R83*$C$4</f>
        <v>0</v>
      </c>
      <c r="V83" s="222">
        <f t="shared" ref="V83:V146" si="4">U83-G83</f>
        <v>-5600</v>
      </c>
      <c r="W83" s="228">
        <f t="shared" ref="W83:W146" si="5">IF(G83=0,0,V83/G83)</f>
        <v>-1</v>
      </c>
      <c r="X83" s="228"/>
    </row>
    <row r="84" spans="1:24" hidden="1" x14ac:dyDescent="0.25">
      <c r="A84" s="210" t="s">
        <v>89</v>
      </c>
      <c r="B84" s="46"/>
      <c r="C84" s="310"/>
      <c r="D84" s="339"/>
      <c r="E84" s="338"/>
      <c r="F84" s="369">
        <f t="shared" si="0"/>
        <v>0</v>
      </c>
      <c r="G84" s="32">
        <f>F84*C4</f>
        <v>0</v>
      </c>
      <c r="H84" s="239"/>
      <c r="I84" s="239"/>
      <c r="J84" s="239"/>
      <c r="K84" s="239"/>
      <c r="L84" s="239"/>
      <c r="M84" s="239"/>
      <c r="N84" s="239"/>
      <c r="O84" s="239"/>
      <c r="P84" s="239"/>
      <c r="Q84" s="250"/>
      <c r="R84" s="261"/>
      <c r="S84" s="222">
        <f t="shared" si="1"/>
        <v>0</v>
      </c>
      <c r="T84" s="228">
        <f t="shared" si="2"/>
        <v>0</v>
      </c>
      <c r="U84" s="222">
        <f t="shared" si="3"/>
        <v>0</v>
      </c>
      <c r="V84" s="222">
        <f t="shared" si="4"/>
        <v>0</v>
      </c>
      <c r="W84" s="228">
        <f t="shared" si="5"/>
        <v>0</v>
      </c>
      <c r="X84" s="228"/>
    </row>
    <row r="85" spans="1:24" hidden="1" x14ac:dyDescent="0.25">
      <c r="A85" s="210" t="s">
        <v>90</v>
      </c>
      <c r="B85" s="46"/>
      <c r="C85" s="310"/>
      <c r="D85" s="339"/>
      <c r="E85" s="338"/>
      <c r="F85" s="369">
        <f t="shared" si="0"/>
        <v>0</v>
      </c>
      <c r="G85" s="32">
        <f>F85*C4</f>
        <v>0</v>
      </c>
      <c r="H85" s="239"/>
      <c r="I85" s="239"/>
      <c r="J85" s="239"/>
      <c r="K85" s="239"/>
      <c r="L85" s="239"/>
      <c r="M85" s="239"/>
      <c r="N85" s="239"/>
      <c r="O85" s="239"/>
      <c r="P85" s="239"/>
      <c r="Q85" s="250"/>
      <c r="R85" s="261"/>
      <c r="S85" s="222">
        <f t="shared" si="1"/>
        <v>0</v>
      </c>
      <c r="T85" s="228">
        <f t="shared" si="2"/>
        <v>0</v>
      </c>
      <c r="U85" s="222">
        <f t="shared" si="3"/>
        <v>0</v>
      </c>
      <c r="V85" s="222">
        <f t="shared" si="4"/>
        <v>0</v>
      </c>
      <c r="W85" s="228">
        <f t="shared" si="5"/>
        <v>0</v>
      </c>
      <c r="X85" s="228"/>
    </row>
    <row r="86" spans="1:24" hidden="1" x14ac:dyDescent="0.25">
      <c r="A86" s="210" t="s">
        <v>91</v>
      </c>
      <c r="B86" s="46"/>
      <c r="C86" s="310"/>
      <c r="D86" s="339"/>
      <c r="E86" s="338"/>
      <c r="F86" s="369">
        <f t="shared" si="0"/>
        <v>0</v>
      </c>
      <c r="G86" s="32">
        <f>F86*C4</f>
        <v>0</v>
      </c>
      <c r="H86" s="239"/>
      <c r="I86" s="239"/>
      <c r="J86" s="239"/>
      <c r="K86" s="239"/>
      <c r="L86" s="239"/>
      <c r="M86" s="239"/>
      <c r="N86" s="239"/>
      <c r="O86" s="239"/>
      <c r="P86" s="239"/>
      <c r="Q86" s="250"/>
      <c r="R86" s="261"/>
      <c r="S86" s="222">
        <f t="shared" si="1"/>
        <v>0</v>
      </c>
      <c r="T86" s="228">
        <f t="shared" si="2"/>
        <v>0</v>
      </c>
      <c r="U86" s="222">
        <f t="shared" si="3"/>
        <v>0</v>
      </c>
      <c r="V86" s="222">
        <f t="shared" si="4"/>
        <v>0</v>
      </c>
      <c r="W86" s="228">
        <f t="shared" si="5"/>
        <v>0</v>
      </c>
      <c r="X86" s="228"/>
    </row>
    <row r="87" spans="1:24" hidden="1" x14ac:dyDescent="0.25">
      <c r="A87" s="210" t="s">
        <v>92</v>
      </c>
      <c r="B87" s="46"/>
      <c r="C87" s="310"/>
      <c r="D87" s="339"/>
      <c r="E87" s="338"/>
      <c r="F87" s="369">
        <f t="shared" si="0"/>
        <v>0</v>
      </c>
      <c r="G87" s="32">
        <f>F87*C4</f>
        <v>0</v>
      </c>
      <c r="H87" s="239"/>
      <c r="I87" s="239"/>
      <c r="J87" s="239"/>
      <c r="K87" s="239"/>
      <c r="L87" s="239"/>
      <c r="M87" s="239"/>
      <c r="N87" s="239"/>
      <c r="O87" s="239"/>
      <c r="P87" s="239"/>
      <c r="Q87" s="250"/>
      <c r="R87" s="261"/>
      <c r="S87" s="222">
        <f t="shared" si="1"/>
        <v>0</v>
      </c>
      <c r="T87" s="228">
        <f t="shared" si="2"/>
        <v>0</v>
      </c>
      <c r="U87" s="222">
        <f t="shared" si="3"/>
        <v>0</v>
      </c>
      <c r="V87" s="222">
        <f t="shared" si="4"/>
        <v>0</v>
      </c>
      <c r="W87" s="228">
        <f t="shared" si="5"/>
        <v>0</v>
      </c>
      <c r="X87" s="228"/>
    </row>
    <row r="88" spans="1:24" hidden="1" x14ac:dyDescent="0.25">
      <c r="A88" s="210" t="s">
        <v>93</v>
      </c>
      <c r="B88" s="46"/>
      <c r="C88" s="310"/>
      <c r="D88" s="339"/>
      <c r="E88" s="338"/>
      <c r="F88" s="369">
        <f t="shared" si="0"/>
        <v>0</v>
      </c>
      <c r="G88" s="32">
        <f>F88*C4</f>
        <v>0</v>
      </c>
      <c r="H88" s="239"/>
      <c r="I88" s="239"/>
      <c r="J88" s="239"/>
      <c r="K88" s="239"/>
      <c r="L88" s="239"/>
      <c r="M88" s="239"/>
      <c r="N88" s="239"/>
      <c r="O88" s="239"/>
      <c r="P88" s="239"/>
      <c r="Q88" s="250"/>
      <c r="R88" s="261"/>
      <c r="S88" s="222">
        <f t="shared" si="1"/>
        <v>0</v>
      </c>
      <c r="T88" s="228">
        <f t="shared" si="2"/>
        <v>0</v>
      </c>
      <c r="U88" s="222">
        <f t="shared" si="3"/>
        <v>0</v>
      </c>
      <c r="V88" s="222">
        <f t="shared" si="4"/>
        <v>0</v>
      </c>
      <c r="W88" s="228">
        <f t="shared" si="5"/>
        <v>0</v>
      </c>
      <c r="X88" s="228"/>
    </row>
    <row r="89" spans="1:24" x14ac:dyDescent="0.25">
      <c r="A89" s="207"/>
      <c r="B89" s="208"/>
      <c r="C89" s="368"/>
      <c r="D89" s="367"/>
      <c r="E89" s="366"/>
      <c r="F89" s="276"/>
      <c r="H89" s="239"/>
      <c r="I89" s="239"/>
      <c r="J89" s="239"/>
      <c r="K89" s="239"/>
      <c r="L89" s="239"/>
      <c r="M89" s="239"/>
      <c r="N89" s="239"/>
      <c r="O89" s="239"/>
      <c r="P89" s="239"/>
      <c r="Q89" s="250"/>
      <c r="R89" s="256"/>
      <c r="S89" s="222"/>
      <c r="T89" s="228"/>
      <c r="U89" s="222"/>
      <c r="V89" s="222"/>
      <c r="W89" s="228"/>
      <c r="X89" s="228"/>
    </row>
    <row r="90" spans="1:24" x14ac:dyDescent="0.25">
      <c r="A90" s="103" t="s">
        <v>111</v>
      </c>
      <c r="C90" s="326"/>
      <c r="D90" s="325"/>
      <c r="E90" s="324"/>
      <c r="F90" s="276"/>
      <c r="H90" s="239"/>
      <c r="I90" s="239"/>
      <c r="J90" s="239"/>
      <c r="K90" s="239"/>
      <c r="L90" s="239"/>
      <c r="M90" s="239"/>
      <c r="N90" s="239"/>
      <c r="O90" s="239"/>
      <c r="P90" s="239"/>
      <c r="Q90" s="250"/>
      <c r="R90" s="256"/>
      <c r="S90" s="222"/>
      <c r="T90" s="228"/>
      <c r="U90" s="222"/>
      <c r="V90" s="222"/>
      <c r="W90" s="228"/>
      <c r="X90" s="228"/>
    </row>
    <row r="91" spans="1:24" ht="13.8" x14ac:dyDescent="0.3">
      <c r="A91" s="81" t="s">
        <v>88</v>
      </c>
      <c r="B91" s="773" t="s">
        <v>890</v>
      </c>
      <c r="C91" s="310"/>
      <c r="D91" s="339">
        <v>8</v>
      </c>
      <c r="E91" s="338">
        <v>1500</v>
      </c>
      <c r="F91" s="276">
        <f t="shared" ref="F91:F96" si="6">D91*E91</f>
        <v>12000</v>
      </c>
      <c r="G91" s="35">
        <f>F91*C4</f>
        <v>12000</v>
      </c>
      <c r="H91" s="239"/>
      <c r="I91" s="239"/>
      <c r="J91" s="239"/>
      <c r="K91" s="239"/>
      <c r="L91" s="239"/>
      <c r="M91" s="239"/>
      <c r="N91" s="239"/>
      <c r="O91" s="239"/>
      <c r="P91" s="239"/>
      <c r="Q91" s="250"/>
      <c r="R91" s="261"/>
      <c r="S91" s="222">
        <f t="shared" si="1"/>
        <v>-12000</v>
      </c>
      <c r="T91" s="228">
        <f t="shared" si="2"/>
        <v>-1</v>
      </c>
      <c r="U91" s="222">
        <f t="shared" si="3"/>
        <v>0</v>
      </c>
      <c r="V91" s="222">
        <f t="shared" si="4"/>
        <v>-12000</v>
      </c>
      <c r="W91" s="228">
        <f t="shared" si="5"/>
        <v>-1</v>
      </c>
      <c r="X91" s="228"/>
    </row>
    <row r="92" spans="1:24" ht="13.8" x14ac:dyDescent="0.3">
      <c r="A92" s="148" t="s">
        <v>94</v>
      </c>
      <c r="B92" s="773" t="s">
        <v>891</v>
      </c>
      <c r="C92" s="310"/>
      <c r="D92" s="339">
        <v>8</v>
      </c>
      <c r="E92" s="338">
        <v>1200</v>
      </c>
      <c r="F92" s="276">
        <f t="shared" si="6"/>
        <v>9600</v>
      </c>
      <c r="G92" s="35">
        <f>F92*C4</f>
        <v>9600</v>
      </c>
      <c r="H92" s="239"/>
      <c r="I92" s="239"/>
      <c r="J92" s="239"/>
      <c r="K92" s="239"/>
      <c r="L92" s="239"/>
      <c r="M92" s="239"/>
      <c r="N92" s="239"/>
      <c r="O92" s="239"/>
      <c r="P92" s="239"/>
      <c r="Q92" s="250"/>
      <c r="R92" s="261"/>
      <c r="S92" s="222">
        <f t="shared" si="1"/>
        <v>-9600</v>
      </c>
      <c r="T92" s="228">
        <f t="shared" si="2"/>
        <v>-1</v>
      </c>
      <c r="U92" s="222">
        <f t="shared" si="3"/>
        <v>0</v>
      </c>
      <c r="V92" s="222">
        <f t="shared" si="4"/>
        <v>-9600</v>
      </c>
      <c r="W92" s="228">
        <f t="shared" si="5"/>
        <v>-1</v>
      </c>
      <c r="X92" s="228"/>
    </row>
    <row r="93" spans="1:24" ht="13.8" x14ac:dyDescent="0.3">
      <c r="A93" s="148" t="s">
        <v>95</v>
      </c>
      <c r="B93" s="774" t="s">
        <v>892</v>
      </c>
      <c r="C93" s="310"/>
      <c r="D93" s="339">
        <v>8</v>
      </c>
      <c r="E93" s="338">
        <v>750</v>
      </c>
      <c r="F93" s="276">
        <f t="shared" si="6"/>
        <v>6000</v>
      </c>
      <c r="G93" s="35">
        <f>F93*C4</f>
        <v>6000</v>
      </c>
      <c r="H93" s="239"/>
      <c r="I93" s="239"/>
      <c r="J93" s="239"/>
      <c r="K93" s="239"/>
      <c r="L93" s="239"/>
      <c r="M93" s="239"/>
      <c r="N93" s="239"/>
      <c r="O93" s="239"/>
      <c r="P93" s="239"/>
      <c r="Q93" s="250"/>
      <c r="R93" s="261"/>
      <c r="S93" s="222">
        <f t="shared" si="1"/>
        <v>-6000</v>
      </c>
      <c r="T93" s="228">
        <f t="shared" si="2"/>
        <v>-1</v>
      </c>
      <c r="U93" s="222">
        <f t="shared" si="3"/>
        <v>0</v>
      </c>
      <c r="V93" s="222">
        <f t="shared" si="4"/>
        <v>-6000</v>
      </c>
      <c r="W93" s="228">
        <f t="shared" si="5"/>
        <v>-1</v>
      </c>
      <c r="X93" s="228"/>
    </row>
    <row r="94" spans="1:24" ht="13.8" x14ac:dyDescent="0.3">
      <c r="A94" s="148" t="s">
        <v>96</v>
      </c>
      <c r="B94" s="774" t="s">
        <v>893</v>
      </c>
      <c r="C94" s="310"/>
      <c r="D94" s="339">
        <v>8</v>
      </c>
      <c r="E94" s="338">
        <v>1000</v>
      </c>
      <c r="F94" s="276">
        <f t="shared" si="6"/>
        <v>8000</v>
      </c>
      <c r="G94" s="35">
        <f>F94*C4</f>
        <v>8000</v>
      </c>
      <c r="H94" s="239"/>
      <c r="I94" s="239"/>
      <c r="J94" s="239"/>
      <c r="K94" s="239"/>
      <c r="L94" s="239"/>
      <c r="M94" s="239"/>
      <c r="N94" s="239"/>
      <c r="O94" s="239"/>
      <c r="P94" s="239"/>
      <c r="Q94" s="250"/>
      <c r="R94" s="261"/>
      <c r="S94" s="222">
        <f t="shared" si="1"/>
        <v>-8000</v>
      </c>
      <c r="T94" s="228">
        <f t="shared" si="2"/>
        <v>-1</v>
      </c>
      <c r="U94" s="222">
        <f t="shared" si="3"/>
        <v>0</v>
      </c>
      <c r="V94" s="222">
        <f t="shared" si="4"/>
        <v>-8000</v>
      </c>
      <c r="W94" s="228">
        <f t="shared" si="5"/>
        <v>-1</v>
      </c>
      <c r="X94" s="228"/>
    </row>
    <row r="95" spans="1:24" hidden="1" x14ac:dyDescent="0.25">
      <c r="A95" s="148" t="s">
        <v>97</v>
      </c>
      <c r="B95" s="775"/>
      <c r="C95" s="310"/>
      <c r="D95" s="339"/>
      <c r="E95" s="338"/>
      <c r="F95" s="276">
        <f t="shared" si="6"/>
        <v>0</v>
      </c>
      <c r="G95" s="35">
        <f>F95*C4</f>
        <v>0</v>
      </c>
      <c r="H95" s="239"/>
      <c r="I95" s="239"/>
      <c r="J95" s="239"/>
      <c r="K95" s="239"/>
      <c r="L95" s="239"/>
      <c r="M95" s="239"/>
      <c r="N95" s="239"/>
      <c r="O95" s="239"/>
      <c r="P95" s="239"/>
      <c r="Q95" s="250"/>
      <c r="R95" s="261"/>
      <c r="S95" s="222">
        <f t="shared" si="1"/>
        <v>0</v>
      </c>
      <c r="T95" s="228">
        <f t="shared" si="2"/>
        <v>0</v>
      </c>
      <c r="U95" s="222">
        <f t="shared" si="3"/>
        <v>0</v>
      </c>
      <c r="V95" s="222">
        <f t="shared" si="4"/>
        <v>0</v>
      </c>
      <c r="W95" s="228">
        <f t="shared" si="5"/>
        <v>0</v>
      </c>
      <c r="X95" s="228"/>
    </row>
    <row r="96" spans="1:24" hidden="1" x14ac:dyDescent="0.25">
      <c r="A96" s="148" t="s">
        <v>98</v>
      </c>
      <c r="B96" s="775"/>
      <c r="C96" s="310"/>
      <c r="D96" s="339"/>
      <c r="E96" s="338"/>
      <c r="F96" s="276">
        <f t="shared" si="6"/>
        <v>0</v>
      </c>
      <c r="G96" s="35">
        <f>F96*C4</f>
        <v>0</v>
      </c>
      <c r="H96" s="239"/>
      <c r="I96" s="239"/>
      <c r="J96" s="239"/>
      <c r="K96" s="239"/>
      <c r="L96" s="239"/>
      <c r="M96" s="239"/>
      <c r="N96" s="239"/>
      <c r="O96" s="239"/>
      <c r="P96" s="239"/>
      <c r="Q96" s="250"/>
      <c r="R96" s="261"/>
      <c r="S96" s="222">
        <f t="shared" si="1"/>
        <v>0</v>
      </c>
      <c r="T96" s="228">
        <f t="shared" si="2"/>
        <v>0</v>
      </c>
      <c r="U96" s="222">
        <f t="shared" si="3"/>
        <v>0</v>
      </c>
      <c r="V96" s="222">
        <f t="shared" si="4"/>
        <v>0</v>
      </c>
      <c r="W96" s="228">
        <f t="shared" si="5"/>
        <v>0</v>
      </c>
      <c r="X96" s="228"/>
    </row>
    <row r="97" spans="1:24" x14ac:dyDescent="0.25">
      <c r="A97" s="91"/>
      <c r="B97" s="149"/>
      <c r="C97" s="365"/>
      <c r="D97" s="364"/>
      <c r="E97" s="363"/>
      <c r="F97" s="276"/>
      <c r="G97" s="91"/>
      <c r="H97" s="238"/>
      <c r="I97" s="238"/>
      <c r="J97" s="238"/>
      <c r="K97" s="238"/>
      <c r="L97" s="238"/>
      <c r="M97" s="238"/>
      <c r="N97" s="238"/>
      <c r="O97" s="238"/>
      <c r="P97" s="238"/>
      <c r="Q97" s="251"/>
      <c r="R97" s="257"/>
      <c r="S97" s="222"/>
      <c r="T97" s="228"/>
      <c r="U97" s="222"/>
      <c r="V97" s="222"/>
      <c r="W97" s="228"/>
      <c r="X97" s="228"/>
    </row>
    <row r="98" spans="1:24" x14ac:dyDescent="0.25">
      <c r="A98" s="201"/>
      <c r="B98" s="202" t="s">
        <v>191</v>
      </c>
      <c r="C98" s="362"/>
      <c r="D98" s="361"/>
      <c r="E98" s="360"/>
      <c r="F98" s="359">
        <f>SUM(F83:F89)</f>
        <v>5600</v>
      </c>
      <c r="G98" s="201">
        <f>SUM(G83:G89)</f>
        <v>5600</v>
      </c>
      <c r="H98" s="238"/>
      <c r="I98" s="238"/>
      <c r="J98" s="238"/>
      <c r="K98" s="238"/>
      <c r="L98" s="238"/>
      <c r="M98" s="238"/>
      <c r="N98" s="238"/>
      <c r="O98" s="238"/>
      <c r="P98" s="238"/>
      <c r="Q98" s="251"/>
      <c r="R98" s="257"/>
      <c r="S98" s="222">
        <f t="shared" si="1"/>
        <v>-5600</v>
      </c>
      <c r="T98" s="228">
        <f t="shared" si="2"/>
        <v>-1</v>
      </c>
      <c r="U98" s="222">
        <f t="shared" si="3"/>
        <v>0</v>
      </c>
      <c r="V98" s="222">
        <f t="shared" si="4"/>
        <v>-5600</v>
      </c>
      <c r="W98" s="228">
        <f t="shared" si="5"/>
        <v>-1</v>
      </c>
      <c r="X98" s="228"/>
    </row>
    <row r="99" spans="1:24" x14ac:dyDescent="0.25">
      <c r="A99" s="201"/>
      <c r="B99" s="202" t="s">
        <v>190</v>
      </c>
      <c r="C99" s="362"/>
      <c r="D99" s="361"/>
      <c r="E99" s="360"/>
      <c r="F99" s="359">
        <f>SUM(F91:F97)</f>
        <v>35600</v>
      </c>
      <c r="G99" s="201">
        <f>SUM(G91:G97)</f>
        <v>35600</v>
      </c>
      <c r="H99" s="238"/>
      <c r="I99" s="238"/>
      <c r="J99" s="238"/>
      <c r="K99" s="238"/>
      <c r="L99" s="238"/>
      <c r="M99" s="238"/>
      <c r="N99" s="238"/>
      <c r="O99" s="238"/>
      <c r="P99" s="238"/>
      <c r="Q99" s="251"/>
      <c r="R99" s="257"/>
      <c r="S99" s="222">
        <f t="shared" si="1"/>
        <v>-35600</v>
      </c>
      <c r="T99" s="228">
        <f t="shared" si="2"/>
        <v>-1</v>
      </c>
      <c r="U99" s="222">
        <f t="shared" si="3"/>
        <v>0</v>
      </c>
      <c r="V99" s="222">
        <f t="shared" si="4"/>
        <v>-35600</v>
      </c>
      <c r="W99" s="228">
        <f t="shared" si="5"/>
        <v>-1</v>
      </c>
      <c r="X99" s="228"/>
    </row>
    <row r="100" spans="1:24" ht="13.8" thickBot="1" x14ac:dyDescent="0.3">
      <c r="A100" s="103"/>
      <c r="B100" s="150" t="s">
        <v>85</v>
      </c>
      <c r="C100" s="294"/>
      <c r="D100" s="293"/>
      <c r="E100" s="292"/>
      <c r="F100" s="316">
        <f>SUM(F81+F83+F84+F85+F86+F87+F88+F91+F92+F93+F94+F95+F96)</f>
        <v>41200</v>
      </c>
      <c r="G100" s="316">
        <f>SUM(G81+G83+G84+G85+G86+G87+G88+G91+G92+G93+G94+G95+G96)</f>
        <v>41200</v>
      </c>
      <c r="H100" s="286"/>
      <c r="I100" s="286"/>
      <c r="J100" s="286"/>
      <c r="K100" s="286"/>
      <c r="L100" s="286"/>
      <c r="M100" s="286"/>
      <c r="N100" s="286"/>
      <c r="O100" s="286"/>
      <c r="P100" s="286"/>
      <c r="Q100" s="312"/>
      <c r="R100" s="311"/>
      <c r="S100" s="234">
        <f t="shared" si="1"/>
        <v>-41200</v>
      </c>
      <c r="T100" s="235">
        <f t="shared" si="2"/>
        <v>-1</v>
      </c>
      <c r="U100" s="234">
        <f t="shared" si="3"/>
        <v>0</v>
      </c>
      <c r="V100" s="234">
        <f t="shared" si="4"/>
        <v>-41200</v>
      </c>
      <c r="W100" s="235">
        <f t="shared" si="5"/>
        <v>-1</v>
      </c>
      <c r="X100" s="235"/>
    </row>
    <row r="101" spans="1:24" ht="13.8" thickTop="1" x14ac:dyDescent="0.25">
      <c r="A101" s="91"/>
      <c r="B101" s="74"/>
      <c r="C101" s="358"/>
      <c r="D101" s="357"/>
      <c r="E101" s="356"/>
      <c r="F101" s="356"/>
      <c r="G101" s="91"/>
      <c r="H101" s="238"/>
      <c r="I101" s="238"/>
      <c r="J101" s="238"/>
      <c r="K101" s="238"/>
      <c r="L101" s="238"/>
      <c r="M101" s="238"/>
      <c r="N101" s="238"/>
      <c r="O101" s="238"/>
      <c r="P101" s="238"/>
      <c r="Q101" s="251"/>
      <c r="R101" s="257"/>
      <c r="S101" s="222"/>
      <c r="T101" s="228"/>
      <c r="U101" s="222"/>
      <c r="V101" s="222"/>
      <c r="W101" s="228"/>
      <c r="X101" s="228"/>
    </row>
    <row r="102" spans="1:24" x14ac:dyDescent="0.25">
      <c r="A102" s="129">
        <v>2</v>
      </c>
      <c r="B102" s="130" t="s">
        <v>99</v>
      </c>
      <c r="C102" s="329"/>
      <c r="D102" s="328"/>
      <c r="E102" s="327"/>
      <c r="F102" s="327"/>
      <c r="G102" s="151"/>
      <c r="H102" s="238"/>
      <c r="I102" s="238"/>
      <c r="J102" s="238"/>
      <c r="K102" s="238"/>
      <c r="L102" s="238"/>
      <c r="M102" s="238"/>
      <c r="N102" s="238"/>
      <c r="O102" s="238"/>
      <c r="P102" s="238"/>
      <c r="Q102" s="251"/>
      <c r="R102" s="259"/>
      <c r="S102" s="227"/>
      <c r="T102" s="229"/>
      <c r="U102" s="227"/>
      <c r="V102" s="227"/>
      <c r="W102" s="229"/>
      <c r="X102" s="229"/>
    </row>
    <row r="103" spans="1:24" x14ac:dyDescent="0.25">
      <c r="A103" s="217" t="s">
        <v>100</v>
      </c>
      <c r="B103" s="218" t="s">
        <v>70</v>
      </c>
      <c r="C103" s="355"/>
      <c r="D103" s="354"/>
      <c r="E103" s="353"/>
      <c r="F103" s="352">
        <f>SUM(F104:F108)</f>
        <v>63000</v>
      </c>
      <c r="G103" s="212">
        <f>SUM(G104:G108)</f>
        <v>63000</v>
      </c>
      <c r="H103" s="239"/>
      <c r="I103" s="239"/>
      <c r="J103" s="239"/>
      <c r="K103" s="239"/>
      <c r="L103" s="239"/>
      <c r="M103" s="239"/>
      <c r="N103" s="239"/>
      <c r="O103" s="239"/>
      <c r="P103" s="239"/>
      <c r="Q103" s="250"/>
      <c r="R103" s="261"/>
      <c r="S103" s="236">
        <f t="shared" si="1"/>
        <v>-63000</v>
      </c>
      <c r="T103" s="237">
        <f t="shared" si="2"/>
        <v>-1</v>
      </c>
      <c r="U103" s="236">
        <f t="shared" si="3"/>
        <v>0</v>
      </c>
      <c r="V103" s="236">
        <f t="shared" si="4"/>
        <v>-63000</v>
      </c>
      <c r="W103" s="237">
        <f t="shared" si="5"/>
        <v>-1</v>
      </c>
      <c r="X103" s="237"/>
    </row>
    <row r="104" spans="1:24" ht="13.8" x14ac:dyDescent="0.3">
      <c r="A104" s="152" t="s">
        <v>200</v>
      </c>
      <c r="B104" s="776" t="s">
        <v>894</v>
      </c>
      <c r="C104" s="822" t="s">
        <v>780</v>
      </c>
      <c r="D104" s="350">
        <v>84</v>
      </c>
      <c r="E104" s="349">
        <v>750</v>
      </c>
      <c r="F104" s="276">
        <f>D104*E104</f>
        <v>63000</v>
      </c>
      <c r="G104" s="35">
        <f>F104*C4</f>
        <v>63000</v>
      </c>
      <c r="H104" s="239"/>
      <c r="I104" s="239"/>
      <c r="J104" s="239"/>
      <c r="K104" s="239"/>
      <c r="L104" s="239"/>
      <c r="M104" s="239"/>
      <c r="N104" s="239"/>
      <c r="O104" s="239"/>
      <c r="P104" s="239"/>
      <c r="Q104" s="250"/>
      <c r="R104" s="261"/>
      <c r="S104" s="222">
        <f t="shared" si="1"/>
        <v>-63000</v>
      </c>
      <c r="T104" s="228">
        <f t="shared" si="2"/>
        <v>-1</v>
      </c>
      <c r="U104" s="222">
        <f t="shared" si="3"/>
        <v>0</v>
      </c>
      <c r="V104" s="222">
        <f t="shared" si="4"/>
        <v>-63000</v>
      </c>
      <c r="W104" s="228">
        <f t="shared" si="5"/>
        <v>-1</v>
      </c>
      <c r="X104" s="228"/>
    </row>
    <row r="105" spans="1:24" hidden="1" x14ac:dyDescent="0.25">
      <c r="A105" s="152" t="s">
        <v>201</v>
      </c>
      <c r="B105" s="777"/>
      <c r="C105" s="351"/>
      <c r="D105" s="350"/>
      <c r="E105" s="349"/>
      <c r="F105" s="276">
        <f>D105*E105</f>
        <v>0</v>
      </c>
      <c r="G105" s="35">
        <f>F105*C4</f>
        <v>0</v>
      </c>
      <c r="H105" s="239"/>
      <c r="I105" s="239"/>
      <c r="J105" s="239"/>
      <c r="K105" s="239"/>
      <c r="L105" s="239"/>
      <c r="M105" s="239"/>
      <c r="N105" s="239"/>
      <c r="O105" s="239"/>
      <c r="P105" s="239"/>
      <c r="Q105" s="250"/>
      <c r="R105" s="261"/>
      <c r="S105" s="222">
        <f t="shared" si="1"/>
        <v>0</v>
      </c>
      <c r="T105" s="228">
        <f t="shared" si="2"/>
        <v>0</v>
      </c>
      <c r="U105" s="222">
        <f t="shared" si="3"/>
        <v>0</v>
      </c>
      <c r="V105" s="222">
        <f t="shared" si="4"/>
        <v>0</v>
      </c>
      <c r="W105" s="228">
        <f t="shared" si="5"/>
        <v>0</v>
      </c>
      <c r="X105" s="228"/>
    </row>
    <row r="106" spans="1:24" hidden="1" x14ac:dyDescent="0.25">
      <c r="A106" s="152" t="s">
        <v>202</v>
      </c>
      <c r="B106" s="110" t="s">
        <v>254</v>
      </c>
      <c r="C106" s="351"/>
      <c r="D106" s="350"/>
      <c r="E106" s="349"/>
      <c r="F106" s="276">
        <f>D106*E106</f>
        <v>0</v>
      </c>
      <c r="G106" s="35">
        <f>F106*C4</f>
        <v>0</v>
      </c>
      <c r="H106" s="239"/>
      <c r="I106" s="239"/>
      <c r="J106" s="239"/>
      <c r="K106" s="239"/>
      <c r="L106" s="239"/>
      <c r="M106" s="239"/>
      <c r="N106" s="239"/>
      <c r="O106" s="239"/>
      <c r="P106" s="239"/>
      <c r="Q106" s="250"/>
      <c r="R106" s="261"/>
      <c r="S106" s="222">
        <f t="shared" si="1"/>
        <v>0</v>
      </c>
      <c r="T106" s="228">
        <f t="shared" si="2"/>
        <v>0</v>
      </c>
      <c r="U106" s="222">
        <f t="shared" si="3"/>
        <v>0</v>
      </c>
      <c r="V106" s="222">
        <f t="shared" si="4"/>
        <v>0</v>
      </c>
      <c r="W106" s="228">
        <f t="shared" si="5"/>
        <v>0</v>
      </c>
      <c r="X106" s="228"/>
    </row>
    <row r="107" spans="1:24" hidden="1" x14ac:dyDescent="0.25">
      <c r="A107" s="152" t="s">
        <v>203</v>
      </c>
      <c r="B107" s="110" t="s">
        <v>255</v>
      </c>
      <c r="C107" s="351"/>
      <c r="D107" s="350"/>
      <c r="E107" s="349"/>
      <c r="F107" s="276">
        <f>D107*E107</f>
        <v>0</v>
      </c>
      <c r="G107" s="35">
        <f>F107*C4</f>
        <v>0</v>
      </c>
      <c r="H107" s="239"/>
      <c r="I107" s="239"/>
      <c r="J107" s="239"/>
      <c r="K107" s="239"/>
      <c r="L107" s="239"/>
      <c r="M107" s="239"/>
      <c r="N107" s="239"/>
      <c r="O107" s="239"/>
      <c r="P107" s="239"/>
      <c r="Q107" s="250"/>
      <c r="R107" s="261"/>
      <c r="S107" s="222">
        <f t="shared" si="1"/>
        <v>0</v>
      </c>
      <c r="T107" s="228">
        <f t="shared" si="2"/>
        <v>0</v>
      </c>
      <c r="U107" s="222">
        <f t="shared" si="3"/>
        <v>0</v>
      </c>
      <c r="V107" s="222">
        <f t="shared" si="4"/>
        <v>0</v>
      </c>
      <c r="W107" s="228">
        <f t="shared" si="5"/>
        <v>0</v>
      </c>
      <c r="X107" s="228"/>
    </row>
    <row r="108" spans="1:24" hidden="1" x14ac:dyDescent="0.25">
      <c r="A108" s="152" t="s">
        <v>204</v>
      </c>
      <c r="B108" s="110" t="s">
        <v>256</v>
      </c>
      <c r="C108" s="351"/>
      <c r="D108" s="350"/>
      <c r="E108" s="349"/>
      <c r="F108" s="276">
        <f>D108*E108</f>
        <v>0</v>
      </c>
      <c r="G108" s="35">
        <f>F108*C4</f>
        <v>0</v>
      </c>
      <c r="H108" s="239"/>
      <c r="I108" s="239"/>
      <c r="J108" s="239"/>
      <c r="K108" s="239"/>
      <c r="L108" s="239"/>
      <c r="M108" s="239"/>
      <c r="N108" s="239"/>
      <c r="O108" s="239"/>
      <c r="P108" s="239"/>
      <c r="Q108" s="250"/>
      <c r="R108" s="261"/>
      <c r="S108" s="222">
        <f t="shared" si="1"/>
        <v>0</v>
      </c>
      <c r="T108" s="228">
        <f t="shared" si="2"/>
        <v>0</v>
      </c>
      <c r="U108" s="222">
        <f t="shared" si="3"/>
        <v>0</v>
      </c>
      <c r="V108" s="222">
        <f t="shared" si="4"/>
        <v>0</v>
      </c>
      <c r="W108" s="228">
        <f t="shared" si="5"/>
        <v>0</v>
      </c>
      <c r="X108" s="228"/>
    </row>
    <row r="109" spans="1:24" x14ac:dyDescent="0.25">
      <c r="A109" s="217" t="s">
        <v>101</v>
      </c>
      <c r="B109" s="218" t="s">
        <v>59</v>
      </c>
      <c r="C109" s="355"/>
      <c r="D109" s="354"/>
      <c r="E109" s="353"/>
      <c r="F109" s="352">
        <f>SUM(F110:F114)</f>
        <v>0</v>
      </c>
      <c r="G109" s="212">
        <f>SUM(G110:G114)</f>
        <v>0</v>
      </c>
      <c r="H109" s="239"/>
      <c r="I109" s="239"/>
      <c r="J109" s="239"/>
      <c r="K109" s="239"/>
      <c r="L109" s="239"/>
      <c r="M109" s="239"/>
      <c r="N109" s="239"/>
      <c r="O109" s="239"/>
      <c r="P109" s="239"/>
      <c r="Q109" s="250"/>
      <c r="R109" s="261"/>
      <c r="S109" s="236">
        <f t="shared" si="1"/>
        <v>0</v>
      </c>
      <c r="T109" s="237">
        <f t="shared" si="2"/>
        <v>0</v>
      </c>
      <c r="U109" s="236">
        <f t="shared" si="3"/>
        <v>0</v>
      </c>
      <c r="V109" s="236">
        <f t="shared" si="4"/>
        <v>0</v>
      </c>
      <c r="W109" s="237">
        <f t="shared" si="5"/>
        <v>0</v>
      </c>
      <c r="X109" s="237"/>
    </row>
    <row r="110" spans="1:24" hidden="1" x14ac:dyDescent="0.25">
      <c r="A110" s="152" t="s">
        <v>205</v>
      </c>
      <c r="B110" s="110" t="s">
        <v>257</v>
      </c>
      <c r="C110" s="351"/>
      <c r="D110" s="350"/>
      <c r="E110" s="349"/>
      <c r="F110" s="276">
        <f>D110*E110</f>
        <v>0</v>
      </c>
      <c r="G110" s="35">
        <f>F110*C4</f>
        <v>0</v>
      </c>
      <c r="H110" s="239"/>
      <c r="I110" s="239"/>
      <c r="J110" s="239"/>
      <c r="K110" s="239"/>
      <c r="L110" s="239"/>
      <c r="M110" s="239"/>
      <c r="N110" s="239"/>
      <c r="O110" s="239"/>
      <c r="P110" s="239"/>
      <c r="Q110" s="250"/>
      <c r="R110" s="261"/>
      <c r="S110" s="222">
        <f t="shared" si="1"/>
        <v>0</v>
      </c>
      <c r="T110" s="228">
        <f t="shared" si="2"/>
        <v>0</v>
      </c>
      <c r="U110" s="222">
        <f t="shared" si="3"/>
        <v>0</v>
      </c>
      <c r="V110" s="222">
        <f t="shared" si="4"/>
        <v>0</v>
      </c>
      <c r="W110" s="228">
        <f t="shared" si="5"/>
        <v>0</v>
      </c>
      <c r="X110" s="228"/>
    </row>
    <row r="111" spans="1:24" hidden="1" x14ac:dyDescent="0.25">
      <c r="A111" s="152" t="s">
        <v>206</v>
      </c>
      <c r="B111" s="110" t="s">
        <v>261</v>
      </c>
      <c r="C111" s="351"/>
      <c r="D111" s="350"/>
      <c r="E111" s="349"/>
      <c r="F111" s="276">
        <f>D111*E111</f>
        <v>0</v>
      </c>
      <c r="G111" s="35">
        <f>F111*C4</f>
        <v>0</v>
      </c>
      <c r="H111" s="239"/>
      <c r="I111" s="239"/>
      <c r="J111" s="239"/>
      <c r="K111" s="239"/>
      <c r="L111" s="239"/>
      <c r="M111" s="239"/>
      <c r="N111" s="239"/>
      <c r="O111" s="239"/>
      <c r="P111" s="239"/>
      <c r="Q111" s="250"/>
      <c r="R111" s="261"/>
      <c r="S111" s="222">
        <f t="shared" si="1"/>
        <v>0</v>
      </c>
      <c r="T111" s="228">
        <f t="shared" si="2"/>
        <v>0</v>
      </c>
      <c r="U111" s="222">
        <f t="shared" si="3"/>
        <v>0</v>
      </c>
      <c r="V111" s="222">
        <f t="shared" si="4"/>
        <v>0</v>
      </c>
      <c r="W111" s="228">
        <f t="shared" si="5"/>
        <v>0</v>
      </c>
      <c r="X111" s="228"/>
    </row>
    <row r="112" spans="1:24" hidden="1" x14ac:dyDescent="0.25">
      <c r="A112" s="152" t="s">
        <v>207</v>
      </c>
      <c r="B112" s="110" t="s">
        <v>260</v>
      </c>
      <c r="C112" s="351"/>
      <c r="D112" s="350"/>
      <c r="E112" s="349"/>
      <c r="F112" s="276">
        <f>D112*E112</f>
        <v>0</v>
      </c>
      <c r="G112" s="35">
        <f>F112*C4</f>
        <v>0</v>
      </c>
      <c r="H112" s="239"/>
      <c r="I112" s="239"/>
      <c r="J112" s="239"/>
      <c r="K112" s="239"/>
      <c r="L112" s="239"/>
      <c r="M112" s="239"/>
      <c r="N112" s="239"/>
      <c r="O112" s="239"/>
      <c r="P112" s="239"/>
      <c r="Q112" s="250"/>
      <c r="R112" s="261"/>
      <c r="S112" s="222">
        <f t="shared" si="1"/>
        <v>0</v>
      </c>
      <c r="T112" s="228">
        <f t="shared" si="2"/>
        <v>0</v>
      </c>
      <c r="U112" s="222">
        <f t="shared" si="3"/>
        <v>0</v>
      </c>
      <c r="V112" s="222">
        <f t="shared" si="4"/>
        <v>0</v>
      </c>
      <c r="W112" s="228">
        <f t="shared" si="5"/>
        <v>0</v>
      </c>
      <c r="X112" s="228"/>
    </row>
    <row r="113" spans="1:24" hidden="1" x14ac:dyDescent="0.25">
      <c r="A113" s="152" t="s">
        <v>208</v>
      </c>
      <c r="B113" s="110" t="s">
        <v>259</v>
      </c>
      <c r="C113" s="351"/>
      <c r="D113" s="350"/>
      <c r="E113" s="349"/>
      <c r="F113" s="276">
        <f>D113*E113</f>
        <v>0</v>
      </c>
      <c r="G113" s="35">
        <f>F113*C4</f>
        <v>0</v>
      </c>
      <c r="H113" s="239"/>
      <c r="I113" s="239"/>
      <c r="J113" s="239"/>
      <c r="K113" s="239"/>
      <c r="L113" s="239"/>
      <c r="M113" s="239"/>
      <c r="N113" s="239"/>
      <c r="O113" s="239"/>
      <c r="P113" s="239"/>
      <c r="Q113" s="250"/>
      <c r="R113" s="261"/>
      <c r="S113" s="222">
        <f t="shared" si="1"/>
        <v>0</v>
      </c>
      <c r="T113" s="228">
        <f t="shared" si="2"/>
        <v>0</v>
      </c>
      <c r="U113" s="222">
        <f t="shared" si="3"/>
        <v>0</v>
      </c>
      <c r="V113" s="222">
        <f t="shared" si="4"/>
        <v>0</v>
      </c>
      <c r="W113" s="228">
        <f t="shared" si="5"/>
        <v>0</v>
      </c>
      <c r="X113" s="228"/>
    </row>
    <row r="114" spans="1:24" hidden="1" x14ac:dyDescent="0.25">
      <c r="A114" s="152" t="s">
        <v>209</v>
      </c>
      <c r="B114" s="110" t="s">
        <v>258</v>
      </c>
      <c r="C114" s="351"/>
      <c r="D114" s="350"/>
      <c r="E114" s="349"/>
      <c r="F114" s="276">
        <f>D114*E114</f>
        <v>0</v>
      </c>
      <c r="G114" s="35">
        <f>F114*C4</f>
        <v>0</v>
      </c>
      <c r="H114" s="239"/>
      <c r="I114" s="239"/>
      <c r="J114" s="239"/>
      <c r="K114" s="239"/>
      <c r="L114" s="239"/>
      <c r="M114" s="239"/>
      <c r="N114" s="239"/>
      <c r="O114" s="239"/>
      <c r="P114" s="239"/>
      <c r="Q114" s="250"/>
      <c r="R114" s="261"/>
      <c r="S114" s="222">
        <f t="shared" si="1"/>
        <v>0</v>
      </c>
      <c r="T114" s="228">
        <f t="shared" si="2"/>
        <v>0</v>
      </c>
      <c r="U114" s="222">
        <f t="shared" si="3"/>
        <v>0</v>
      </c>
      <c r="V114" s="222">
        <f t="shared" si="4"/>
        <v>0</v>
      </c>
      <c r="W114" s="228">
        <f t="shared" si="5"/>
        <v>0</v>
      </c>
      <c r="X114" s="228"/>
    </row>
    <row r="115" spans="1:24" x14ac:dyDescent="0.25">
      <c r="A115" s="217" t="s">
        <v>102</v>
      </c>
      <c r="B115" s="218" t="s">
        <v>71</v>
      </c>
      <c r="C115" s="355"/>
      <c r="D115" s="354"/>
      <c r="E115" s="353"/>
      <c r="F115" s="352">
        <f>SUM(F116:F120)</f>
        <v>0</v>
      </c>
      <c r="G115" s="212">
        <f>SUM(G116:G120)</f>
        <v>0</v>
      </c>
      <c r="H115" s="239"/>
      <c r="I115" s="239"/>
      <c r="J115" s="239"/>
      <c r="K115" s="239"/>
      <c r="L115" s="239"/>
      <c r="M115" s="239"/>
      <c r="N115" s="239"/>
      <c r="O115" s="239"/>
      <c r="P115" s="239"/>
      <c r="Q115" s="250"/>
      <c r="R115" s="261"/>
      <c r="S115" s="236">
        <f t="shared" si="1"/>
        <v>0</v>
      </c>
      <c r="T115" s="237">
        <f t="shared" si="2"/>
        <v>0</v>
      </c>
      <c r="U115" s="236">
        <f t="shared" si="3"/>
        <v>0</v>
      </c>
      <c r="V115" s="236">
        <f t="shared" si="4"/>
        <v>0</v>
      </c>
      <c r="W115" s="237">
        <f t="shared" si="5"/>
        <v>0</v>
      </c>
      <c r="X115" s="237"/>
    </row>
    <row r="116" spans="1:24" hidden="1" x14ac:dyDescent="0.25">
      <c r="A116" s="152" t="s">
        <v>210</v>
      </c>
      <c r="B116" s="110" t="s">
        <v>262</v>
      </c>
      <c r="C116" s="351"/>
      <c r="D116" s="350"/>
      <c r="E116" s="349"/>
      <c r="F116" s="276">
        <f>D116*E116</f>
        <v>0</v>
      </c>
      <c r="G116" s="35">
        <f>F116*C4</f>
        <v>0</v>
      </c>
      <c r="H116" s="239"/>
      <c r="I116" s="239"/>
      <c r="J116" s="239"/>
      <c r="K116" s="239"/>
      <c r="L116" s="239"/>
      <c r="M116" s="239"/>
      <c r="N116" s="239"/>
      <c r="O116" s="239"/>
      <c r="P116" s="239"/>
      <c r="Q116" s="250"/>
      <c r="R116" s="261"/>
      <c r="S116" s="222">
        <f t="shared" si="1"/>
        <v>0</v>
      </c>
      <c r="T116" s="228">
        <f t="shared" si="2"/>
        <v>0</v>
      </c>
      <c r="U116" s="222">
        <f t="shared" si="3"/>
        <v>0</v>
      </c>
      <c r="V116" s="222">
        <f t="shared" si="4"/>
        <v>0</v>
      </c>
      <c r="W116" s="228">
        <f t="shared" si="5"/>
        <v>0</v>
      </c>
      <c r="X116" s="228"/>
    </row>
    <row r="117" spans="1:24" hidden="1" x14ac:dyDescent="0.25">
      <c r="A117" s="152" t="s">
        <v>211</v>
      </c>
      <c r="B117" s="110" t="s">
        <v>263</v>
      </c>
      <c r="C117" s="351"/>
      <c r="D117" s="350"/>
      <c r="E117" s="349"/>
      <c r="F117" s="276">
        <f>D117*E117</f>
        <v>0</v>
      </c>
      <c r="G117" s="35">
        <f>F117*C4</f>
        <v>0</v>
      </c>
      <c r="H117" s="239"/>
      <c r="I117" s="239"/>
      <c r="J117" s="239"/>
      <c r="K117" s="239"/>
      <c r="L117" s="239"/>
      <c r="M117" s="239"/>
      <c r="N117" s="239"/>
      <c r="O117" s="239"/>
      <c r="P117" s="239"/>
      <c r="Q117" s="250"/>
      <c r="R117" s="261"/>
      <c r="S117" s="222">
        <f t="shared" si="1"/>
        <v>0</v>
      </c>
      <c r="T117" s="228">
        <f t="shared" si="2"/>
        <v>0</v>
      </c>
      <c r="U117" s="222">
        <f t="shared" si="3"/>
        <v>0</v>
      </c>
      <c r="V117" s="222">
        <f t="shared" si="4"/>
        <v>0</v>
      </c>
      <c r="W117" s="228">
        <f t="shared" si="5"/>
        <v>0</v>
      </c>
      <c r="X117" s="228"/>
    </row>
    <row r="118" spans="1:24" hidden="1" x14ac:dyDescent="0.25">
      <c r="A118" s="152" t="s">
        <v>212</v>
      </c>
      <c r="B118" s="110" t="s">
        <v>264</v>
      </c>
      <c r="C118" s="351"/>
      <c r="D118" s="350"/>
      <c r="E118" s="349"/>
      <c r="F118" s="276">
        <f>D118*E118</f>
        <v>0</v>
      </c>
      <c r="G118" s="35">
        <f>F118*C4</f>
        <v>0</v>
      </c>
      <c r="H118" s="239"/>
      <c r="I118" s="239"/>
      <c r="J118" s="239"/>
      <c r="K118" s="239"/>
      <c r="L118" s="239"/>
      <c r="M118" s="239"/>
      <c r="N118" s="239"/>
      <c r="O118" s="239"/>
      <c r="P118" s="239"/>
      <c r="Q118" s="250"/>
      <c r="R118" s="261"/>
      <c r="S118" s="222">
        <f t="shared" si="1"/>
        <v>0</v>
      </c>
      <c r="T118" s="228">
        <f t="shared" si="2"/>
        <v>0</v>
      </c>
      <c r="U118" s="222">
        <f t="shared" si="3"/>
        <v>0</v>
      </c>
      <c r="V118" s="222">
        <f t="shared" si="4"/>
        <v>0</v>
      </c>
      <c r="W118" s="228">
        <f t="shared" si="5"/>
        <v>0</v>
      </c>
      <c r="X118" s="228"/>
    </row>
    <row r="119" spans="1:24" hidden="1" x14ac:dyDescent="0.25">
      <c r="A119" s="152" t="s">
        <v>213</v>
      </c>
      <c r="B119" s="110" t="s">
        <v>265</v>
      </c>
      <c r="C119" s="351"/>
      <c r="D119" s="350"/>
      <c r="E119" s="349"/>
      <c r="F119" s="276">
        <f>D119*E119</f>
        <v>0</v>
      </c>
      <c r="G119" s="35">
        <f>F119*C4</f>
        <v>0</v>
      </c>
      <c r="H119" s="239"/>
      <c r="I119" s="239"/>
      <c r="J119" s="239"/>
      <c r="K119" s="239"/>
      <c r="L119" s="239"/>
      <c r="M119" s="239"/>
      <c r="N119" s="239"/>
      <c r="O119" s="239"/>
      <c r="P119" s="239"/>
      <c r="Q119" s="250"/>
      <c r="R119" s="261"/>
      <c r="S119" s="222">
        <f t="shared" si="1"/>
        <v>0</v>
      </c>
      <c r="T119" s="228">
        <f t="shared" si="2"/>
        <v>0</v>
      </c>
      <c r="U119" s="222">
        <f t="shared" si="3"/>
        <v>0</v>
      </c>
      <c r="V119" s="222">
        <f t="shared" si="4"/>
        <v>0</v>
      </c>
      <c r="W119" s="228">
        <f t="shared" si="5"/>
        <v>0</v>
      </c>
      <c r="X119" s="228"/>
    </row>
    <row r="120" spans="1:24" hidden="1" x14ac:dyDescent="0.25">
      <c r="A120" s="152" t="s">
        <v>214</v>
      </c>
      <c r="B120" s="110" t="s">
        <v>266</v>
      </c>
      <c r="C120" s="351"/>
      <c r="D120" s="350"/>
      <c r="E120" s="349"/>
      <c r="F120" s="276">
        <f>D120*E120</f>
        <v>0</v>
      </c>
      <c r="G120" s="35">
        <f>F120*C4</f>
        <v>0</v>
      </c>
      <c r="H120" s="239"/>
      <c r="I120" s="239"/>
      <c r="J120" s="239"/>
      <c r="K120" s="239"/>
      <c r="L120" s="239"/>
      <c r="M120" s="239"/>
      <c r="N120" s="239"/>
      <c r="O120" s="239"/>
      <c r="P120" s="239"/>
      <c r="Q120" s="250"/>
      <c r="R120" s="261"/>
      <c r="S120" s="222">
        <f t="shared" si="1"/>
        <v>0</v>
      </c>
      <c r="T120" s="228">
        <f t="shared" si="2"/>
        <v>0</v>
      </c>
      <c r="U120" s="222">
        <f t="shared" si="3"/>
        <v>0</v>
      </c>
      <c r="V120" s="222">
        <f t="shared" si="4"/>
        <v>0</v>
      </c>
      <c r="W120" s="228">
        <f t="shared" si="5"/>
        <v>0</v>
      </c>
      <c r="X120" s="228"/>
    </row>
    <row r="121" spans="1:24" x14ac:dyDescent="0.25">
      <c r="A121" s="217" t="s">
        <v>103</v>
      </c>
      <c r="B121" s="218" t="s">
        <v>72</v>
      </c>
      <c r="C121" s="355"/>
      <c r="D121" s="354"/>
      <c r="E121" s="353"/>
      <c r="F121" s="352">
        <f>SUM(F122:F126)</f>
        <v>0</v>
      </c>
      <c r="G121" s="212">
        <f>SUM(G122:G126)</f>
        <v>0</v>
      </c>
      <c r="H121" s="239"/>
      <c r="I121" s="239"/>
      <c r="J121" s="239"/>
      <c r="K121" s="239"/>
      <c r="L121" s="239"/>
      <c r="M121" s="239"/>
      <c r="N121" s="239"/>
      <c r="O121" s="239"/>
      <c r="P121" s="239"/>
      <c r="Q121" s="250"/>
      <c r="R121" s="261"/>
      <c r="S121" s="236">
        <f t="shared" si="1"/>
        <v>0</v>
      </c>
      <c r="T121" s="237">
        <f t="shared" si="2"/>
        <v>0</v>
      </c>
      <c r="U121" s="236">
        <f t="shared" si="3"/>
        <v>0</v>
      </c>
      <c r="V121" s="236">
        <f t="shared" si="4"/>
        <v>0</v>
      </c>
      <c r="W121" s="237">
        <f t="shared" si="5"/>
        <v>0</v>
      </c>
      <c r="X121" s="237"/>
    </row>
    <row r="122" spans="1:24" hidden="1" x14ac:dyDescent="0.25">
      <c r="A122" s="152" t="s">
        <v>215</v>
      </c>
      <c r="B122" s="110" t="s">
        <v>267</v>
      </c>
      <c r="C122" s="351"/>
      <c r="D122" s="350"/>
      <c r="E122" s="349"/>
      <c r="F122" s="276">
        <f>D122*E122</f>
        <v>0</v>
      </c>
      <c r="G122" s="35">
        <f>F122*C4</f>
        <v>0</v>
      </c>
      <c r="H122" s="239"/>
      <c r="I122" s="239"/>
      <c r="J122" s="239"/>
      <c r="K122" s="239"/>
      <c r="L122" s="239"/>
      <c r="M122" s="239"/>
      <c r="N122" s="239"/>
      <c r="O122" s="239"/>
      <c r="P122" s="239"/>
      <c r="Q122" s="250"/>
      <c r="R122" s="261"/>
      <c r="S122" s="222">
        <f t="shared" si="1"/>
        <v>0</v>
      </c>
      <c r="T122" s="228">
        <f t="shared" si="2"/>
        <v>0</v>
      </c>
      <c r="U122" s="222">
        <f t="shared" si="3"/>
        <v>0</v>
      </c>
      <c r="V122" s="222">
        <f t="shared" si="4"/>
        <v>0</v>
      </c>
      <c r="W122" s="228">
        <f t="shared" si="5"/>
        <v>0</v>
      </c>
      <c r="X122" s="228"/>
    </row>
    <row r="123" spans="1:24" hidden="1" x14ac:dyDescent="0.25">
      <c r="A123" s="152" t="s">
        <v>216</v>
      </c>
      <c r="B123" s="110" t="s">
        <v>268</v>
      </c>
      <c r="C123" s="351"/>
      <c r="D123" s="350"/>
      <c r="E123" s="349"/>
      <c r="F123" s="276">
        <f>D123*E123</f>
        <v>0</v>
      </c>
      <c r="G123" s="35">
        <f>F123*C4</f>
        <v>0</v>
      </c>
      <c r="H123" s="239"/>
      <c r="I123" s="239"/>
      <c r="J123" s="239"/>
      <c r="K123" s="239"/>
      <c r="L123" s="239"/>
      <c r="M123" s="239"/>
      <c r="N123" s="239"/>
      <c r="O123" s="239"/>
      <c r="P123" s="239"/>
      <c r="Q123" s="250"/>
      <c r="R123" s="261"/>
      <c r="S123" s="222">
        <f t="shared" si="1"/>
        <v>0</v>
      </c>
      <c r="T123" s="228">
        <f t="shared" si="2"/>
        <v>0</v>
      </c>
      <c r="U123" s="222">
        <f t="shared" si="3"/>
        <v>0</v>
      </c>
      <c r="V123" s="222">
        <f t="shared" si="4"/>
        <v>0</v>
      </c>
      <c r="W123" s="228">
        <f t="shared" si="5"/>
        <v>0</v>
      </c>
      <c r="X123" s="228"/>
    </row>
    <row r="124" spans="1:24" hidden="1" x14ac:dyDescent="0.25">
      <c r="A124" s="152" t="s">
        <v>217</v>
      </c>
      <c r="B124" s="110" t="s">
        <v>269</v>
      </c>
      <c r="C124" s="351"/>
      <c r="D124" s="350"/>
      <c r="E124" s="349"/>
      <c r="F124" s="276">
        <f>D124*E124</f>
        <v>0</v>
      </c>
      <c r="G124" s="35">
        <f>F124*C4</f>
        <v>0</v>
      </c>
      <c r="H124" s="239"/>
      <c r="I124" s="239"/>
      <c r="J124" s="239"/>
      <c r="K124" s="239"/>
      <c r="L124" s="239"/>
      <c r="M124" s="239"/>
      <c r="N124" s="239"/>
      <c r="O124" s="239"/>
      <c r="P124" s="239"/>
      <c r="Q124" s="250"/>
      <c r="R124" s="261"/>
      <c r="S124" s="222">
        <f t="shared" si="1"/>
        <v>0</v>
      </c>
      <c r="T124" s="228">
        <f t="shared" si="2"/>
        <v>0</v>
      </c>
      <c r="U124" s="222">
        <f t="shared" si="3"/>
        <v>0</v>
      </c>
      <c r="V124" s="222">
        <f t="shared" si="4"/>
        <v>0</v>
      </c>
      <c r="W124" s="228">
        <f t="shared" si="5"/>
        <v>0</v>
      </c>
      <c r="X124" s="228"/>
    </row>
    <row r="125" spans="1:24" hidden="1" x14ac:dyDescent="0.25">
      <c r="A125" s="152" t="s">
        <v>218</v>
      </c>
      <c r="B125" s="110" t="s">
        <v>270</v>
      </c>
      <c r="C125" s="351"/>
      <c r="D125" s="350"/>
      <c r="E125" s="349"/>
      <c r="F125" s="276">
        <f>D125*E125</f>
        <v>0</v>
      </c>
      <c r="G125" s="35">
        <f>F125*C4</f>
        <v>0</v>
      </c>
      <c r="H125" s="239"/>
      <c r="I125" s="239"/>
      <c r="J125" s="239"/>
      <c r="K125" s="239"/>
      <c r="L125" s="239"/>
      <c r="M125" s="239"/>
      <c r="N125" s="239"/>
      <c r="O125" s="239"/>
      <c r="P125" s="239"/>
      <c r="Q125" s="250"/>
      <c r="R125" s="261"/>
      <c r="S125" s="222">
        <f t="shared" si="1"/>
        <v>0</v>
      </c>
      <c r="T125" s="228">
        <f t="shared" si="2"/>
        <v>0</v>
      </c>
      <c r="U125" s="222">
        <f t="shared" si="3"/>
        <v>0</v>
      </c>
      <c r="V125" s="222">
        <f t="shared" si="4"/>
        <v>0</v>
      </c>
      <c r="W125" s="228">
        <f t="shared" si="5"/>
        <v>0</v>
      </c>
      <c r="X125" s="228"/>
    </row>
    <row r="126" spans="1:24" hidden="1" x14ac:dyDescent="0.25">
      <c r="A126" s="152" t="s">
        <v>219</v>
      </c>
      <c r="B126" s="110" t="s">
        <v>271</v>
      </c>
      <c r="C126" s="351"/>
      <c r="D126" s="350"/>
      <c r="E126" s="349"/>
      <c r="F126" s="276">
        <f>D126*E126</f>
        <v>0</v>
      </c>
      <c r="G126" s="35">
        <f>F126*C4</f>
        <v>0</v>
      </c>
      <c r="H126" s="239"/>
      <c r="I126" s="239"/>
      <c r="J126" s="239"/>
      <c r="K126" s="239"/>
      <c r="L126" s="239"/>
      <c r="M126" s="239"/>
      <c r="N126" s="239"/>
      <c r="O126" s="239"/>
      <c r="P126" s="239"/>
      <c r="Q126" s="250"/>
      <c r="R126" s="261"/>
      <c r="S126" s="222">
        <f t="shared" si="1"/>
        <v>0</v>
      </c>
      <c r="T126" s="228">
        <f t="shared" si="2"/>
        <v>0</v>
      </c>
      <c r="U126" s="222">
        <f t="shared" si="3"/>
        <v>0</v>
      </c>
      <c r="V126" s="222">
        <f t="shared" si="4"/>
        <v>0</v>
      </c>
      <c r="W126" s="228">
        <f t="shared" si="5"/>
        <v>0</v>
      </c>
      <c r="X126" s="228"/>
    </row>
    <row r="127" spans="1:24" x14ac:dyDescent="0.25">
      <c r="A127" s="217" t="s">
        <v>104</v>
      </c>
      <c r="B127" s="218" t="s">
        <v>73</v>
      </c>
      <c r="C127" s="355"/>
      <c r="D127" s="354"/>
      <c r="E127" s="353"/>
      <c r="F127" s="352">
        <f>SUM(F128:F132)</f>
        <v>0</v>
      </c>
      <c r="G127" s="212">
        <f>SUM(G128:G132)</f>
        <v>0</v>
      </c>
      <c r="H127" s="239"/>
      <c r="I127" s="239"/>
      <c r="J127" s="239"/>
      <c r="K127" s="239"/>
      <c r="L127" s="239"/>
      <c r="M127" s="239"/>
      <c r="N127" s="239"/>
      <c r="O127" s="239"/>
      <c r="P127" s="239"/>
      <c r="Q127" s="250"/>
      <c r="R127" s="261"/>
      <c r="S127" s="236">
        <f t="shared" si="1"/>
        <v>0</v>
      </c>
      <c r="T127" s="237">
        <f t="shared" si="2"/>
        <v>0</v>
      </c>
      <c r="U127" s="236">
        <f t="shared" si="3"/>
        <v>0</v>
      </c>
      <c r="V127" s="236">
        <f t="shared" si="4"/>
        <v>0</v>
      </c>
      <c r="W127" s="237">
        <f t="shared" si="5"/>
        <v>0</v>
      </c>
      <c r="X127" s="237"/>
    </row>
    <row r="128" spans="1:24" hidden="1" x14ac:dyDescent="0.25">
      <c r="A128" s="152" t="s">
        <v>220</v>
      </c>
      <c r="B128" s="110" t="s">
        <v>272</v>
      </c>
      <c r="C128" s="351"/>
      <c r="D128" s="350"/>
      <c r="E128" s="349"/>
      <c r="F128" s="276">
        <f>D128*E128</f>
        <v>0</v>
      </c>
      <c r="G128" s="35">
        <f>F128*C4</f>
        <v>0</v>
      </c>
      <c r="H128" s="239"/>
      <c r="I128" s="239"/>
      <c r="J128" s="239"/>
      <c r="K128" s="239"/>
      <c r="L128" s="239"/>
      <c r="M128" s="239"/>
      <c r="N128" s="239"/>
      <c r="O128" s="239"/>
      <c r="P128" s="239"/>
      <c r="Q128" s="250"/>
      <c r="R128" s="261"/>
      <c r="S128" s="222">
        <f t="shared" si="1"/>
        <v>0</v>
      </c>
      <c r="T128" s="228">
        <f t="shared" si="2"/>
        <v>0</v>
      </c>
      <c r="U128" s="222">
        <f t="shared" si="3"/>
        <v>0</v>
      </c>
      <c r="V128" s="222">
        <f t="shared" si="4"/>
        <v>0</v>
      </c>
      <c r="W128" s="228">
        <f t="shared" si="5"/>
        <v>0</v>
      </c>
      <c r="X128" s="228"/>
    </row>
    <row r="129" spans="1:24" hidden="1" x14ac:dyDescent="0.25">
      <c r="A129" s="152" t="s">
        <v>221</v>
      </c>
      <c r="B129" s="110" t="s">
        <v>273</v>
      </c>
      <c r="C129" s="351"/>
      <c r="D129" s="350"/>
      <c r="E129" s="349"/>
      <c r="F129" s="276">
        <f>D129*E129</f>
        <v>0</v>
      </c>
      <c r="G129" s="35">
        <f>F129*C4</f>
        <v>0</v>
      </c>
      <c r="H129" s="239"/>
      <c r="I129" s="239"/>
      <c r="J129" s="239"/>
      <c r="K129" s="239"/>
      <c r="L129" s="239"/>
      <c r="M129" s="239"/>
      <c r="N129" s="239"/>
      <c r="O129" s="239"/>
      <c r="P129" s="239"/>
      <c r="Q129" s="250"/>
      <c r="R129" s="261"/>
      <c r="S129" s="222">
        <f t="shared" si="1"/>
        <v>0</v>
      </c>
      <c r="T129" s="228">
        <f t="shared" si="2"/>
        <v>0</v>
      </c>
      <c r="U129" s="222">
        <f t="shared" si="3"/>
        <v>0</v>
      </c>
      <c r="V129" s="222">
        <f t="shared" si="4"/>
        <v>0</v>
      </c>
      <c r="W129" s="228">
        <f t="shared" si="5"/>
        <v>0</v>
      </c>
      <c r="X129" s="228"/>
    </row>
    <row r="130" spans="1:24" hidden="1" x14ac:dyDescent="0.25">
      <c r="A130" s="152" t="s">
        <v>222</v>
      </c>
      <c r="B130" s="110" t="s">
        <v>274</v>
      </c>
      <c r="C130" s="351"/>
      <c r="D130" s="350"/>
      <c r="E130" s="349"/>
      <c r="F130" s="276">
        <f>D130*E130</f>
        <v>0</v>
      </c>
      <c r="G130" s="35">
        <f>F130*C4</f>
        <v>0</v>
      </c>
      <c r="H130" s="239"/>
      <c r="I130" s="239"/>
      <c r="J130" s="239"/>
      <c r="K130" s="239"/>
      <c r="L130" s="239"/>
      <c r="M130" s="239"/>
      <c r="N130" s="239"/>
      <c r="O130" s="239"/>
      <c r="P130" s="239"/>
      <c r="Q130" s="250"/>
      <c r="R130" s="261"/>
      <c r="S130" s="222">
        <f t="shared" si="1"/>
        <v>0</v>
      </c>
      <c r="T130" s="228">
        <f t="shared" si="2"/>
        <v>0</v>
      </c>
      <c r="U130" s="222">
        <f t="shared" si="3"/>
        <v>0</v>
      </c>
      <c r="V130" s="222">
        <f t="shared" si="4"/>
        <v>0</v>
      </c>
      <c r="W130" s="228">
        <f t="shared" si="5"/>
        <v>0</v>
      </c>
      <c r="X130" s="228"/>
    </row>
    <row r="131" spans="1:24" hidden="1" x14ac:dyDescent="0.25">
      <c r="A131" s="152" t="s">
        <v>223</v>
      </c>
      <c r="B131" s="110" t="s">
        <v>275</v>
      </c>
      <c r="C131" s="351"/>
      <c r="D131" s="350"/>
      <c r="E131" s="349"/>
      <c r="F131" s="276">
        <f>D131*E131</f>
        <v>0</v>
      </c>
      <c r="G131" s="35">
        <f>F131*C4</f>
        <v>0</v>
      </c>
      <c r="H131" s="239"/>
      <c r="I131" s="239"/>
      <c r="J131" s="239"/>
      <c r="K131" s="239"/>
      <c r="L131" s="239"/>
      <c r="M131" s="239"/>
      <c r="N131" s="239"/>
      <c r="O131" s="239"/>
      <c r="P131" s="239"/>
      <c r="Q131" s="250"/>
      <c r="R131" s="261"/>
      <c r="S131" s="222">
        <f t="shared" si="1"/>
        <v>0</v>
      </c>
      <c r="T131" s="228">
        <f t="shared" si="2"/>
        <v>0</v>
      </c>
      <c r="U131" s="222">
        <f t="shared" si="3"/>
        <v>0</v>
      </c>
      <c r="V131" s="222">
        <f t="shared" si="4"/>
        <v>0</v>
      </c>
      <c r="W131" s="228">
        <f t="shared" si="5"/>
        <v>0</v>
      </c>
      <c r="X131" s="228"/>
    </row>
    <row r="132" spans="1:24" hidden="1" x14ac:dyDescent="0.25">
      <c r="A132" s="152" t="s">
        <v>224</v>
      </c>
      <c r="B132" s="110" t="s">
        <v>276</v>
      </c>
      <c r="C132" s="351"/>
      <c r="D132" s="350"/>
      <c r="E132" s="349"/>
      <c r="F132" s="276">
        <f>D132*E132</f>
        <v>0</v>
      </c>
      <c r="G132" s="35">
        <f>F132*C4</f>
        <v>0</v>
      </c>
      <c r="H132" s="239"/>
      <c r="I132" s="239"/>
      <c r="J132" s="239"/>
      <c r="K132" s="239"/>
      <c r="L132" s="239"/>
      <c r="M132" s="239"/>
      <c r="N132" s="239"/>
      <c r="O132" s="239"/>
      <c r="P132" s="239"/>
      <c r="Q132" s="250"/>
      <c r="R132" s="261"/>
      <c r="S132" s="222">
        <f t="shared" si="1"/>
        <v>0</v>
      </c>
      <c r="T132" s="228">
        <f t="shared" si="2"/>
        <v>0</v>
      </c>
      <c r="U132" s="222">
        <f t="shared" si="3"/>
        <v>0</v>
      </c>
      <c r="V132" s="222">
        <f t="shared" si="4"/>
        <v>0</v>
      </c>
      <c r="W132" s="228">
        <f t="shared" si="5"/>
        <v>0</v>
      </c>
      <c r="X132" s="228"/>
    </row>
    <row r="133" spans="1:24" x14ac:dyDescent="0.25">
      <c r="A133" s="217" t="s">
        <v>105</v>
      </c>
      <c r="B133" s="218" t="s">
        <v>58</v>
      </c>
      <c r="C133" s="355"/>
      <c r="D133" s="354"/>
      <c r="E133" s="353"/>
      <c r="F133" s="352">
        <f>SUM(F134:F138)</f>
        <v>47040</v>
      </c>
      <c r="G133" s="212">
        <f>SUM(G134:G138)</f>
        <v>47040</v>
      </c>
      <c r="H133" s="239"/>
      <c r="I133" s="239"/>
      <c r="J133" s="239"/>
      <c r="K133" s="239"/>
      <c r="L133" s="239"/>
      <c r="M133" s="239"/>
      <c r="N133" s="239"/>
      <c r="O133" s="239"/>
      <c r="P133" s="239"/>
      <c r="Q133" s="250"/>
      <c r="R133" s="261"/>
      <c r="S133" s="236">
        <f t="shared" si="1"/>
        <v>-47040</v>
      </c>
      <c r="T133" s="237">
        <f t="shared" si="2"/>
        <v>-1</v>
      </c>
      <c r="U133" s="236">
        <f t="shared" si="3"/>
        <v>0</v>
      </c>
      <c r="V133" s="236">
        <f t="shared" si="4"/>
        <v>-47040</v>
      </c>
      <c r="W133" s="237">
        <f t="shared" si="5"/>
        <v>-1</v>
      </c>
      <c r="X133" s="237"/>
    </row>
    <row r="134" spans="1:24" ht="13.8" x14ac:dyDescent="0.3">
      <c r="A134" s="152" t="s">
        <v>225</v>
      </c>
      <c r="B134" s="776" t="s">
        <v>895</v>
      </c>
      <c r="C134" s="822" t="s">
        <v>780</v>
      </c>
      <c r="D134" s="350">
        <v>336</v>
      </c>
      <c r="E134" s="349">
        <v>140</v>
      </c>
      <c r="F134" s="276">
        <f>D134*E134</f>
        <v>47040</v>
      </c>
      <c r="G134" s="35">
        <f>F134*C4</f>
        <v>47040</v>
      </c>
      <c r="H134" s="239"/>
      <c r="I134" s="239"/>
      <c r="J134" s="239"/>
      <c r="K134" s="239"/>
      <c r="L134" s="239"/>
      <c r="M134" s="239"/>
      <c r="N134" s="239"/>
      <c r="O134" s="239"/>
      <c r="P134" s="239"/>
      <c r="Q134" s="250"/>
      <c r="R134" s="261"/>
      <c r="S134" s="222">
        <f t="shared" si="1"/>
        <v>-47040</v>
      </c>
      <c r="T134" s="228">
        <f t="shared" si="2"/>
        <v>-1</v>
      </c>
      <c r="U134" s="222">
        <f t="shared" si="3"/>
        <v>0</v>
      </c>
      <c r="V134" s="222">
        <f t="shared" si="4"/>
        <v>-47040</v>
      </c>
      <c r="W134" s="228">
        <f t="shared" si="5"/>
        <v>-1</v>
      </c>
      <c r="X134" s="228"/>
    </row>
    <row r="135" spans="1:24" hidden="1" x14ac:dyDescent="0.25">
      <c r="A135" s="152" t="s">
        <v>226</v>
      </c>
      <c r="B135" s="110" t="s">
        <v>278</v>
      </c>
      <c r="C135" s="351"/>
      <c r="D135" s="350"/>
      <c r="E135" s="349"/>
      <c r="F135" s="276">
        <f>D135*E135</f>
        <v>0</v>
      </c>
      <c r="G135" s="35">
        <f>F135*C4</f>
        <v>0</v>
      </c>
      <c r="H135" s="239"/>
      <c r="I135" s="239"/>
      <c r="J135" s="239"/>
      <c r="K135" s="239"/>
      <c r="L135" s="239"/>
      <c r="M135" s="239"/>
      <c r="N135" s="239"/>
      <c r="O135" s="239"/>
      <c r="P135" s="239"/>
      <c r="Q135" s="250"/>
      <c r="R135" s="261"/>
      <c r="S135" s="222">
        <f t="shared" si="1"/>
        <v>0</v>
      </c>
      <c r="T135" s="228">
        <f t="shared" si="2"/>
        <v>0</v>
      </c>
      <c r="U135" s="222">
        <f t="shared" si="3"/>
        <v>0</v>
      </c>
      <c r="V135" s="222">
        <f t="shared" si="4"/>
        <v>0</v>
      </c>
      <c r="W135" s="228">
        <f t="shared" si="5"/>
        <v>0</v>
      </c>
      <c r="X135" s="228"/>
    </row>
    <row r="136" spans="1:24" hidden="1" x14ac:dyDescent="0.25">
      <c r="A136" s="152" t="s">
        <v>227</v>
      </c>
      <c r="B136" s="110" t="s">
        <v>279</v>
      </c>
      <c r="C136" s="351"/>
      <c r="D136" s="350"/>
      <c r="E136" s="349"/>
      <c r="F136" s="276">
        <f>D136*E136</f>
        <v>0</v>
      </c>
      <c r="G136" s="35">
        <f>F136*C4</f>
        <v>0</v>
      </c>
      <c r="H136" s="239"/>
      <c r="I136" s="239"/>
      <c r="J136" s="239"/>
      <c r="K136" s="239"/>
      <c r="L136" s="239"/>
      <c r="M136" s="239"/>
      <c r="N136" s="239"/>
      <c r="O136" s="239"/>
      <c r="P136" s="239"/>
      <c r="Q136" s="250"/>
      <c r="R136" s="261"/>
      <c r="S136" s="222">
        <f t="shared" si="1"/>
        <v>0</v>
      </c>
      <c r="T136" s="228">
        <f t="shared" si="2"/>
        <v>0</v>
      </c>
      <c r="U136" s="222">
        <f t="shared" si="3"/>
        <v>0</v>
      </c>
      <c r="V136" s="222">
        <f t="shared" si="4"/>
        <v>0</v>
      </c>
      <c r="W136" s="228">
        <f t="shared" si="5"/>
        <v>0</v>
      </c>
      <c r="X136" s="228"/>
    </row>
    <row r="137" spans="1:24" hidden="1" x14ac:dyDescent="0.25">
      <c r="A137" s="152" t="s">
        <v>228</v>
      </c>
      <c r="B137" s="110" t="s">
        <v>280</v>
      </c>
      <c r="C137" s="351"/>
      <c r="D137" s="350"/>
      <c r="E137" s="349"/>
      <c r="F137" s="276">
        <f>D137*E137</f>
        <v>0</v>
      </c>
      <c r="G137" s="35">
        <f>F137*C4</f>
        <v>0</v>
      </c>
      <c r="H137" s="239"/>
      <c r="I137" s="239"/>
      <c r="J137" s="239"/>
      <c r="K137" s="239"/>
      <c r="L137" s="239"/>
      <c r="M137" s="239"/>
      <c r="N137" s="239"/>
      <c r="O137" s="239"/>
      <c r="P137" s="239"/>
      <c r="Q137" s="250"/>
      <c r="R137" s="261"/>
      <c r="S137" s="222">
        <f t="shared" si="1"/>
        <v>0</v>
      </c>
      <c r="T137" s="228">
        <f t="shared" si="2"/>
        <v>0</v>
      </c>
      <c r="U137" s="222">
        <f t="shared" si="3"/>
        <v>0</v>
      </c>
      <c r="V137" s="222">
        <f t="shared" si="4"/>
        <v>0</v>
      </c>
      <c r="W137" s="228">
        <f t="shared" si="5"/>
        <v>0</v>
      </c>
      <c r="X137" s="228"/>
    </row>
    <row r="138" spans="1:24" hidden="1" x14ac:dyDescent="0.25">
      <c r="A138" s="152" t="s">
        <v>229</v>
      </c>
      <c r="B138" s="110" t="s">
        <v>281</v>
      </c>
      <c r="C138" s="351"/>
      <c r="D138" s="350"/>
      <c r="E138" s="349"/>
      <c r="F138" s="276">
        <f>D138*E138</f>
        <v>0</v>
      </c>
      <c r="G138" s="35">
        <f>F138*C4</f>
        <v>0</v>
      </c>
      <c r="H138" s="239"/>
      <c r="I138" s="239"/>
      <c r="J138" s="239"/>
      <c r="K138" s="239"/>
      <c r="L138" s="239"/>
      <c r="M138" s="239"/>
      <c r="N138" s="239"/>
      <c r="O138" s="239"/>
      <c r="P138" s="239"/>
      <c r="Q138" s="250"/>
      <c r="R138" s="261"/>
      <c r="S138" s="222">
        <f t="shared" si="1"/>
        <v>0</v>
      </c>
      <c r="T138" s="228">
        <f t="shared" si="2"/>
        <v>0</v>
      </c>
      <c r="U138" s="222">
        <f t="shared" si="3"/>
        <v>0</v>
      </c>
      <c r="V138" s="222">
        <f t="shared" si="4"/>
        <v>0</v>
      </c>
      <c r="W138" s="228">
        <f t="shared" si="5"/>
        <v>0</v>
      </c>
      <c r="X138" s="228"/>
    </row>
    <row r="139" spans="1:24" x14ac:dyDescent="0.25">
      <c r="A139" s="217" t="s">
        <v>106</v>
      </c>
      <c r="B139" s="218" t="s">
        <v>57</v>
      </c>
      <c r="C139" s="355"/>
      <c r="D139" s="354"/>
      <c r="E139" s="353"/>
      <c r="F139" s="352">
        <f>SUM(F140:F144)</f>
        <v>0</v>
      </c>
      <c r="G139" s="212">
        <f>SUM(G140:G144)</f>
        <v>0</v>
      </c>
      <c r="H139" s="239"/>
      <c r="I139" s="239"/>
      <c r="J139" s="239"/>
      <c r="K139" s="239"/>
      <c r="L139" s="239"/>
      <c r="M139" s="239"/>
      <c r="N139" s="239"/>
      <c r="O139" s="239"/>
      <c r="P139" s="239"/>
      <c r="Q139" s="250"/>
      <c r="R139" s="261"/>
      <c r="S139" s="236">
        <f t="shared" si="1"/>
        <v>0</v>
      </c>
      <c r="T139" s="237">
        <f t="shared" si="2"/>
        <v>0</v>
      </c>
      <c r="U139" s="236">
        <f t="shared" si="3"/>
        <v>0</v>
      </c>
      <c r="V139" s="236">
        <f t="shared" si="4"/>
        <v>0</v>
      </c>
      <c r="W139" s="237">
        <f t="shared" si="5"/>
        <v>0</v>
      </c>
      <c r="X139" s="237"/>
    </row>
    <row r="140" spans="1:24" hidden="1" x14ac:dyDescent="0.25">
      <c r="A140" s="152" t="s">
        <v>230</v>
      </c>
      <c r="B140" s="110" t="s">
        <v>282</v>
      </c>
      <c r="C140" s="351"/>
      <c r="D140" s="350"/>
      <c r="E140" s="349"/>
      <c r="F140" s="276">
        <f>D140*E140</f>
        <v>0</v>
      </c>
      <c r="G140" s="35">
        <f>F140*C4</f>
        <v>0</v>
      </c>
      <c r="H140" s="239"/>
      <c r="I140" s="239"/>
      <c r="J140" s="239"/>
      <c r="K140" s="239"/>
      <c r="L140" s="239"/>
      <c r="M140" s="239"/>
      <c r="N140" s="239"/>
      <c r="O140" s="239"/>
      <c r="P140" s="239"/>
      <c r="Q140" s="250"/>
      <c r="R140" s="261"/>
      <c r="S140" s="222">
        <f t="shared" si="1"/>
        <v>0</v>
      </c>
      <c r="T140" s="228">
        <f t="shared" si="2"/>
        <v>0</v>
      </c>
      <c r="U140" s="222">
        <f t="shared" si="3"/>
        <v>0</v>
      </c>
      <c r="V140" s="222">
        <f t="shared" si="4"/>
        <v>0</v>
      </c>
      <c r="W140" s="228">
        <f t="shared" si="5"/>
        <v>0</v>
      </c>
      <c r="X140" s="228"/>
    </row>
    <row r="141" spans="1:24" hidden="1" x14ac:dyDescent="0.25">
      <c r="A141" s="152" t="s">
        <v>231</v>
      </c>
      <c r="B141" s="110" t="s">
        <v>283</v>
      </c>
      <c r="C141" s="351"/>
      <c r="D141" s="350"/>
      <c r="E141" s="349"/>
      <c r="F141" s="276">
        <f>D141*E141</f>
        <v>0</v>
      </c>
      <c r="G141" s="35">
        <f>F141*C4</f>
        <v>0</v>
      </c>
      <c r="H141" s="239"/>
      <c r="I141" s="239"/>
      <c r="J141" s="239"/>
      <c r="K141" s="239"/>
      <c r="L141" s="239"/>
      <c r="M141" s="239"/>
      <c r="N141" s="239"/>
      <c r="O141" s="239"/>
      <c r="P141" s="239"/>
      <c r="Q141" s="250"/>
      <c r="R141" s="261"/>
      <c r="S141" s="222">
        <f t="shared" si="1"/>
        <v>0</v>
      </c>
      <c r="T141" s="228">
        <f t="shared" si="2"/>
        <v>0</v>
      </c>
      <c r="U141" s="222">
        <f t="shared" si="3"/>
        <v>0</v>
      </c>
      <c r="V141" s="222">
        <f t="shared" si="4"/>
        <v>0</v>
      </c>
      <c r="W141" s="228">
        <f t="shared" si="5"/>
        <v>0</v>
      </c>
      <c r="X141" s="228"/>
    </row>
    <row r="142" spans="1:24" hidden="1" x14ac:dyDescent="0.25">
      <c r="A142" s="152" t="s">
        <v>232</v>
      </c>
      <c r="B142" s="110" t="s">
        <v>284</v>
      </c>
      <c r="C142" s="351"/>
      <c r="D142" s="350"/>
      <c r="E142" s="349"/>
      <c r="F142" s="276">
        <f>D142*E142</f>
        <v>0</v>
      </c>
      <c r="G142" s="35">
        <f>F142*C4</f>
        <v>0</v>
      </c>
      <c r="H142" s="239"/>
      <c r="I142" s="239"/>
      <c r="J142" s="239"/>
      <c r="K142" s="239"/>
      <c r="L142" s="239"/>
      <c r="M142" s="239"/>
      <c r="N142" s="239"/>
      <c r="O142" s="239"/>
      <c r="P142" s="239"/>
      <c r="Q142" s="250"/>
      <c r="R142" s="261"/>
      <c r="S142" s="222">
        <f t="shared" si="1"/>
        <v>0</v>
      </c>
      <c r="T142" s="228">
        <f t="shared" si="2"/>
        <v>0</v>
      </c>
      <c r="U142" s="222">
        <f t="shared" si="3"/>
        <v>0</v>
      </c>
      <c r="V142" s="222">
        <f t="shared" si="4"/>
        <v>0</v>
      </c>
      <c r="W142" s="228">
        <f t="shared" si="5"/>
        <v>0</v>
      </c>
      <c r="X142" s="228"/>
    </row>
    <row r="143" spans="1:24" hidden="1" x14ac:dyDescent="0.25">
      <c r="A143" s="152" t="s">
        <v>233</v>
      </c>
      <c r="B143" s="110" t="s">
        <v>285</v>
      </c>
      <c r="C143" s="351"/>
      <c r="D143" s="350"/>
      <c r="E143" s="349"/>
      <c r="F143" s="276">
        <f>D143*E143</f>
        <v>0</v>
      </c>
      <c r="G143" s="35">
        <f>F143*C4</f>
        <v>0</v>
      </c>
      <c r="H143" s="239"/>
      <c r="I143" s="239"/>
      <c r="J143" s="239"/>
      <c r="K143" s="239"/>
      <c r="L143" s="239"/>
      <c r="M143" s="239"/>
      <c r="N143" s="239"/>
      <c r="O143" s="239"/>
      <c r="P143" s="239"/>
      <c r="Q143" s="250"/>
      <c r="R143" s="261"/>
      <c r="S143" s="222">
        <f t="shared" si="1"/>
        <v>0</v>
      </c>
      <c r="T143" s="228">
        <f t="shared" si="2"/>
        <v>0</v>
      </c>
      <c r="U143" s="222">
        <f t="shared" si="3"/>
        <v>0</v>
      </c>
      <c r="V143" s="222">
        <f t="shared" si="4"/>
        <v>0</v>
      </c>
      <c r="W143" s="228">
        <f t="shared" si="5"/>
        <v>0</v>
      </c>
      <c r="X143" s="228"/>
    </row>
    <row r="144" spans="1:24" hidden="1" x14ac:dyDescent="0.25">
      <c r="A144" s="152" t="s">
        <v>234</v>
      </c>
      <c r="B144" s="110" t="s">
        <v>286</v>
      </c>
      <c r="C144" s="351"/>
      <c r="D144" s="350"/>
      <c r="E144" s="349"/>
      <c r="F144" s="276">
        <f>D144*E144</f>
        <v>0</v>
      </c>
      <c r="G144" s="35">
        <f>F144*C4</f>
        <v>0</v>
      </c>
      <c r="H144" s="239"/>
      <c r="I144" s="239"/>
      <c r="J144" s="239"/>
      <c r="K144" s="239"/>
      <c r="L144" s="239"/>
      <c r="M144" s="239"/>
      <c r="N144" s="239"/>
      <c r="O144" s="239"/>
      <c r="P144" s="239"/>
      <c r="Q144" s="250"/>
      <c r="R144" s="261"/>
      <c r="S144" s="222">
        <f t="shared" si="1"/>
        <v>0</v>
      </c>
      <c r="T144" s="228">
        <f t="shared" si="2"/>
        <v>0</v>
      </c>
      <c r="U144" s="222">
        <f t="shared" si="3"/>
        <v>0</v>
      </c>
      <c r="V144" s="222">
        <f t="shared" si="4"/>
        <v>0</v>
      </c>
      <c r="W144" s="228">
        <f t="shared" si="5"/>
        <v>0</v>
      </c>
      <c r="X144" s="228"/>
    </row>
    <row r="145" spans="1:24" x14ac:dyDescent="0.25">
      <c r="A145" s="217" t="s">
        <v>107</v>
      </c>
      <c r="B145" s="218" t="s">
        <v>74</v>
      </c>
      <c r="C145" s="355"/>
      <c r="D145" s="354"/>
      <c r="E145" s="353"/>
      <c r="F145" s="352">
        <f>SUM(F146:F150)</f>
        <v>0</v>
      </c>
      <c r="G145" s="212">
        <f>SUM(G146:G150)</f>
        <v>0</v>
      </c>
      <c r="H145" s="239"/>
      <c r="I145" s="239"/>
      <c r="J145" s="239"/>
      <c r="K145" s="239"/>
      <c r="L145" s="239"/>
      <c r="M145" s="239"/>
      <c r="N145" s="239"/>
      <c r="O145" s="239"/>
      <c r="P145" s="239"/>
      <c r="Q145" s="250"/>
      <c r="R145" s="261"/>
      <c r="S145" s="236">
        <f t="shared" si="1"/>
        <v>0</v>
      </c>
      <c r="T145" s="237">
        <f t="shared" si="2"/>
        <v>0</v>
      </c>
      <c r="U145" s="236">
        <f t="shared" si="3"/>
        <v>0</v>
      </c>
      <c r="V145" s="236">
        <f t="shared" si="4"/>
        <v>0</v>
      </c>
      <c r="W145" s="237">
        <f t="shared" si="5"/>
        <v>0</v>
      </c>
      <c r="X145" s="237"/>
    </row>
    <row r="146" spans="1:24" hidden="1" x14ac:dyDescent="0.25">
      <c r="A146" s="152" t="s">
        <v>235</v>
      </c>
      <c r="B146" s="110" t="s">
        <v>287</v>
      </c>
      <c r="C146" s="351"/>
      <c r="D146" s="350"/>
      <c r="E146" s="349"/>
      <c r="F146" s="276">
        <f>D146*E146</f>
        <v>0</v>
      </c>
      <c r="G146" s="35">
        <f>F146*C4</f>
        <v>0</v>
      </c>
      <c r="H146" s="239"/>
      <c r="I146" s="239"/>
      <c r="J146" s="239"/>
      <c r="K146" s="239"/>
      <c r="L146" s="239"/>
      <c r="M146" s="239"/>
      <c r="N146" s="239"/>
      <c r="O146" s="239"/>
      <c r="P146" s="239"/>
      <c r="Q146" s="250"/>
      <c r="R146" s="261"/>
      <c r="S146" s="222">
        <f t="shared" si="1"/>
        <v>0</v>
      </c>
      <c r="T146" s="228">
        <f t="shared" si="2"/>
        <v>0</v>
      </c>
      <c r="U146" s="222">
        <f t="shared" si="3"/>
        <v>0</v>
      </c>
      <c r="V146" s="222">
        <f t="shared" si="4"/>
        <v>0</v>
      </c>
      <c r="W146" s="228">
        <f t="shared" si="5"/>
        <v>0</v>
      </c>
      <c r="X146" s="228"/>
    </row>
    <row r="147" spans="1:24" hidden="1" x14ac:dyDescent="0.25">
      <c r="A147" s="152" t="s">
        <v>236</v>
      </c>
      <c r="B147" s="110" t="s">
        <v>288</v>
      </c>
      <c r="C147" s="351"/>
      <c r="D147" s="350"/>
      <c r="E147" s="349"/>
      <c r="F147" s="276">
        <f>D147*E147</f>
        <v>0</v>
      </c>
      <c r="G147" s="35">
        <f>F147*C4</f>
        <v>0</v>
      </c>
      <c r="H147" s="239"/>
      <c r="I147" s="239"/>
      <c r="J147" s="239"/>
      <c r="K147" s="239"/>
      <c r="L147" s="239"/>
      <c r="M147" s="239"/>
      <c r="N147" s="239"/>
      <c r="O147" s="239"/>
      <c r="P147" s="239"/>
      <c r="Q147" s="250"/>
      <c r="R147" s="261"/>
      <c r="S147" s="222">
        <f t="shared" ref="S147:S212" si="7">R147-F147</f>
        <v>0</v>
      </c>
      <c r="T147" s="228">
        <f t="shared" ref="T147:T212" si="8">IF(F147=0,0,S147/F147)</f>
        <v>0</v>
      </c>
      <c r="U147" s="222">
        <f t="shared" ref="U147:U212" si="9">R147*$C$4</f>
        <v>0</v>
      </c>
      <c r="V147" s="222">
        <f t="shared" ref="V147:V212" si="10">U147-G147</f>
        <v>0</v>
      </c>
      <c r="W147" s="228">
        <f t="shared" ref="W147:W212" si="11">IF(G147=0,0,V147/G147)</f>
        <v>0</v>
      </c>
      <c r="X147" s="228"/>
    </row>
    <row r="148" spans="1:24" hidden="1" x14ac:dyDescent="0.25">
      <c r="A148" s="152" t="s">
        <v>237</v>
      </c>
      <c r="B148" s="110" t="s">
        <v>289</v>
      </c>
      <c r="C148" s="351"/>
      <c r="D148" s="350"/>
      <c r="E148" s="349"/>
      <c r="F148" s="276">
        <f>D148*E148</f>
        <v>0</v>
      </c>
      <c r="G148" s="35">
        <f>F148*C4</f>
        <v>0</v>
      </c>
      <c r="H148" s="239"/>
      <c r="I148" s="239"/>
      <c r="J148" s="239"/>
      <c r="K148" s="239"/>
      <c r="L148" s="239"/>
      <c r="M148" s="239"/>
      <c r="N148" s="239"/>
      <c r="O148" s="239"/>
      <c r="P148" s="239"/>
      <c r="Q148" s="250"/>
      <c r="R148" s="261"/>
      <c r="S148" s="222">
        <f t="shared" si="7"/>
        <v>0</v>
      </c>
      <c r="T148" s="228">
        <f t="shared" si="8"/>
        <v>0</v>
      </c>
      <c r="U148" s="222">
        <f t="shared" si="9"/>
        <v>0</v>
      </c>
      <c r="V148" s="222">
        <f t="shared" si="10"/>
        <v>0</v>
      </c>
      <c r="W148" s="228">
        <f t="shared" si="11"/>
        <v>0</v>
      </c>
      <c r="X148" s="228"/>
    </row>
    <row r="149" spans="1:24" hidden="1" x14ac:dyDescent="0.25">
      <c r="A149" s="152" t="s">
        <v>238</v>
      </c>
      <c r="B149" s="110" t="s">
        <v>290</v>
      </c>
      <c r="C149" s="351"/>
      <c r="D149" s="350"/>
      <c r="E149" s="349"/>
      <c r="F149" s="276">
        <f>D149*E149</f>
        <v>0</v>
      </c>
      <c r="G149" s="35">
        <f>F149*C4</f>
        <v>0</v>
      </c>
      <c r="H149" s="239"/>
      <c r="I149" s="239"/>
      <c r="J149" s="239"/>
      <c r="K149" s="239"/>
      <c r="L149" s="239"/>
      <c r="M149" s="239"/>
      <c r="N149" s="239"/>
      <c r="O149" s="239"/>
      <c r="P149" s="239"/>
      <c r="Q149" s="250"/>
      <c r="R149" s="261"/>
      <c r="S149" s="222">
        <f t="shared" si="7"/>
        <v>0</v>
      </c>
      <c r="T149" s="228">
        <f t="shared" si="8"/>
        <v>0</v>
      </c>
      <c r="U149" s="222">
        <f t="shared" si="9"/>
        <v>0</v>
      </c>
      <c r="V149" s="222">
        <f t="shared" si="10"/>
        <v>0</v>
      </c>
      <c r="W149" s="228">
        <f t="shared" si="11"/>
        <v>0</v>
      </c>
      <c r="X149" s="228"/>
    </row>
    <row r="150" spans="1:24" hidden="1" x14ac:dyDescent="0.25">
      <c r="A150" s="152" t="s">
        <v>239</v>
      </c>
      <c r="B150" s="110" t="s">
        <v>291</v>
      </c>
      <c r="C150" s="351"/>
      <c r="D150" s="350"/>
      <c r="E150" s="349"/>
      <c r="F150" s="276">
        <f>D150*E150</f>
        <v>0</v>
      </c>
      <c r="G150" s="35">
        <f>F150*C4</f>
        <v>0</v>
      </c>
      <c r="H150" s="239"/>
      <c r="I150" s="239"/>
      <c r="J150" s="239"/>
      <c r="K150" s="239"/>
      <c r="L150" s="239"/>
      <c r="M150" s="239"/>
      <c r="N150" s="239"/>
      <c r="O150" s="239"/>
      <c r="P150" s="239"/>
      <c r="Q150" s="250"/>
      <c r="R150" s="261"/>
      <c r="S150" s="222">
        <f t="shared" si="7"/>
        <v>0</v>
      </c>
      <c r="T150" s="228">
        <f t="shared" si="8"/>
        <v>0</v>
      </c>
      <c r="U150" s="222">
        <f t="shared" si="9"/>
        <v>0</v>
      </c>
      <c r="V150" s="222">
        <f t="shared" si="10"/>
        <v>0</v>
      </c>
      <c r="W150" s="228">
        <f t="shared" si="11"/>
        <v>0</v>
      </c>
      <c r="X150" s="228"/>
    </row>
    <row r="151" spans="1:24" x14ac:dyDescent="0.25">
      <c r="A151" s="217" t="s">
        <v>108</v>
      </c>
      <c r="B151" s="218" t="s">
        <v>75</v>
      </c>
      <c r="C151" s="355"/>
      <c r="D151" s="354"/>
      <c r="E151" s="353"/>
      <c r="F151" s="352">
        <f>SUM(F152:F156)</f>
        <v>0</v>
      </c>
      <c r="G151" s="212">
        <f>SUM(G152:G156)</f>
        <v>0</v>
      </c>
      <c r="H151" s="239"/>
      <c r="I151" s="239"/>
      <c r="J151" s="239"/>
      <c r="K151" s="239"/>
      <c r="L151" s="239"/>
      <c r="M151" s="239"/>
      <c r="N151" s="239"/>
      <c r="O151" s="239"/>
      <c r="P151" s="239"/>
      <c r="Q151" s="250"/>
      <c r="R151" s="261"/>
      <c r="S151" s="236">
        <f t="shared" si="7"/>
        <v>0</v>
      </c>
      <c r="T151" s="237">
        <f t="shared" si="8"/>
        <v>0</v>
      </c>
      <c r="U151" s="236">
        <f t="shared" si="9"/>
        <v>0</v>
      </c>
      <c r="V151" s="236">
        <f t="shared" si="10"/>
        <v>0</v>
      </c>
      <c r="W151" s="237">
        <f t="shared" si="11"/>
        <v>0</v>
      </c>
      <c r="X151" s="237"/>
    </row>
    <row r="152" spans="1:24" hidden="1" x14ac:dyDescent="0.25">
      <c r="A152" s="157" t="s">
        <v>240</v>
      </c>
      <c r="B152" s="110" t="s">
        <v>292</v>
      </c>
      <c r="C152" s="351"/>
      <c r="D152" s="350"/>
      <c r="E152" s="349"/>
      <c r="F152" s="276">
        <f>D152*E152</f>
        <v>0</v>
      </c>
      <c r="G152" s="35">
        <f>F152*C4</f>
        <v>0</v>
      </c>
      <c r="H152" s="239"/>
      <c r="I152" s="239"/>
      <c r="J152" s="239"/>
      <c r="K152" s="239"/>
      <c r="L152" s="239"/>
      <c r="M152" s="239"/>
      <c r="N152" s="239"/>
      <c r="O152" s="239"/>
      <c r="P152" s="239"/>
      <c r="Q152" s="250"/>
      <c r="R152" s="261"/>
      <c r="S152" s="222">
        <f t="shared" si="7"/>
        <v>0</v>
      </c>
      <c r="T152" s="228">
        <f t="shared" si="8"/>
        <v>0</v>
      </c>
      <c r="U152" s="222">
        <f t="shared" si="9"/>
        <v>0</v>
      </c>
      <c r="V152" s="222">
        <f t="shared" si="10"/>
        <v>0</v>
      </c>
      <c r="W152" s="228">
        <f t="shared" si="11"/>
        <v>0</v>
      </c>
      <c r="X152" s="228"/>
    </row>
    <row r="153" spans="1:24" hidden="1" x14ac:dyDescent="0.25">
      <c r="A153" s="157" t="s">
        <v>241</v>
      </c>
      <c r="B153" s="110" t="s">
        <v>293</v>
      </c>
      <c r="C153" s="351"/>
      <c r="D153" s="350"/>
      <c r="E153" s="349"/>
      <c r="F153" s="276">
        <f>D153*E153</f>
        <v>0</v>
      </c>
      <c r="G153" s="35">
        <f>F153*C4</f>
        <v>0</v>
      </c>
      <c r="H153" s="239"/>
      <c r="I153" s="239"/>
      <c r="J153" s="239"/>
      <c r="K153" s="239"/>
      <c r="L153" s="239"/>
      <c r="M153" s="239"/>
      <c r="N153" s="239"/>
      <c r="O153" s="239"/>
      <c r="P153" s="239"/>
      <c r="Q153" s="250"/>
      <c r="R153" s="261"/>
      <c r="S153" s="222">
        <f t="shared" si="7"/>
        <v>0</v>
      </c>
      <c r="T153" s="228">
        <f t="shared" si="8"/>
        <v>0</v>
      </c>
      <c r="U153" s="222">
        <f t="shared" si="9"/>
        <v>0</v>
      </c>
      <c r="V153" s="222">
        <f t="shared" si="10"/>
        <v>0</v>
      </c>
      <c r="W153" s="228">
        <f t="shared" si="11"/>
        <v>0</v>
      </c>
      <c r="X153" s="228"/>
    </row>
    <row r="154" spans="1:24" hidden="1" x14ac:dyDescent="0.25">
      <c r="A154" s="157" t="s">
        <v>242</v>
      </c>
      <c r="B154" s="110" t="s">
        <v>294</v>
      </c>
      <c r="C154" s="351"/>
      <c r="D154" s="350"/>
      <c r="E154" s="349"/>
      <c r="F154" s="276">
        <f>D154*E154</f>
        <v>0</v>
      </c>
      <c r="G154" s="35">
        <f>F154*C4</f>
        <v>0</v>
      </c>
      <c r="H154" s="239"/>
      <c r="I154" s="239"/>
      <c r="J154" s="239"/>
      <c r="K154" s="239"/>
      <c r="L154" s="239"/>
      <c r="M154" s="239"/>
      <c r="N154" s="239"/>
      <c r="O154" s="239"/>
      <c r="P154" s="239"/>
      <c r="Q154" s="250"/>
      <c r="R154" s="261"/>
      <c r="S154" s="222">
        <f t="shared" si="7"/>
        <v>0</v>
      </c>
      <c r="T154" s="228">
        <f t="shared" si="8"/>
        <v>0</v>
      </c>
      <c r="U154" s="222">
        <f t="shared" si="9"/>
        <v>0</v>
      </c>
      <c r="V154" s="222">
        <f t="shared" si="10"/>
        <v>0</v>
      </c>
      <c r="W154" s="228">
        <f t="shared" si="11"/>
        <v>0</v>
      </c>
      <c r="X154" s="228"/>
    </row>
    <row r="155" spans="1:24" hidden="1" x14ac:dyDescent="0.25">
      <c r="A155" s="157" t="s">
        <v>243</v>
      </c>
      <c r="B155" s="110" t="s">
        <v>295</v>
      </c>
      <c r="C155" s="351"/>
      <c r="D155" s="350"/>
      <c r="E155" s="349"/>
      <c r="F155" s="276">
        <f>D155*E155</f>
        <v>0</v>
      </c>
      <c r="G155" s="35">
        <f>F155*C4</f>
        <v>0</v>
      </c>
      <c r="H155" s="239"/>
      <c r="I155" s="239"/>
      <c r="J155" s="239"/>
      <c r="K155" s="239"/>
      <c r="L155" s="239"/>
      <c r="M155" s="239"/>
      <c r="N155" s="239"/>
      <c r="O155" s="239"/>
      <c r="P155" s="239"/>
      <c r="Q155" s="250"/>
      <c r="R155" s="261"/>
      <c r="S155" s="222">
        <f t="shared" si="7"/>
        <v>0</v>
      </c>
      <c r="T155" s="228">
        <f t="shared" si="8"/>
        <v>0</v>
      </c>
      <c r="U155" s="222">
        <f t="shared" si="9"/>
        <v>0</v>
      </c>
      <c r="V155" s="222">
        <f t="shared" si="10"/>
        <v>0</v>
      </c>
      <c r="W155" s="228">
        <f t="shared" si="11"/>
        <v>0</v>
      </c>
      <c r="X155" s="228"/>
    </row>
    <row r="156" spans="1:24" hidden="1" x14ac:dyDescent="0.25">
      <c r="A156" s="157" t="s">
        <v>244</v>
      </c>
      <c r="B156" s="110" t="s">
        <v>296</v>
      </c>
      <c r="C156" s="351"/>
      <c r="D156" s="350"/>
      <c r="E156" s="349"/>
      <c r="F156" s="276">
        <f>D156*E156</f>
        <v>0</v>
      </c>
      <c r="G156" s="35">
        <f>F156*C4</f>
        <v>0</v>
      </c>
      <c r="H156" s="239"/>
      <c r="I156" s="239"/>
      <c r="J156" s="239"/>
      <c r="K156" s="239"/>
      <c r="L156" s="239"/>
      <c r="M156" s="239"/>
      <c r="N156" s="239"/>
      <c r="O156" s="239"/>
      <c r="P156" s="239"/>
      <c r="Q156" s="250"/>
      <c r="R156" s="261"/>
      <c r="S156" s="222">
        <f t="shared" si="7"/>
        <v>0</v>
      </c>
      <c r="T156" s="228">
        <f t="shared" si="8"/>
        <v>0</v>
      </c>
      <c r="U156" s="222">
        <f t="shared" si="9"/>
        <v>0</v>
      </c>
      <c r="V156" s="222">
        <f t="shared" si="10"/>
        <v>0</v>
      </c>
      <c r="W156" s="228">
        <f t="shared" si="11"/>
        <v>0</v>
      </c>
      <c r="X156" s="228"/>
    </row>
    <row r="157" spans="1:24" x14ac:dyDescent="0.25">
      <c r="A157" s="217" t="s">
        <v>109</v>
      </c>
      <c r="B157" s="218" t="s">
        <v>76</v>
      </c>
      <c r="C157" s="355"/>
      <c r="D157" s="354"/>
      <c r="E157" s="353"/>
      <c r="F157" s="352">
        <f>SUM(F158:F162)</f>
        <v>0</v>
      </c>
      <c r="G157" s="212">
        <f>SUM(G158:G162)</f>
        <v>0</v>
      </c>
      <c r="H157" s="239"/>
      <c r="I157" s="239"/>
      <c r="J157" s="239"/>
      <c r="K157" s="239"/>
      <c r="L157" s="239"/>
      <c r="M157" s="239"/>
      <c r="N157" s="239"/>
      <c r="O157" s="239"/>
      <c r="P157" s="239"/>
      <c r="Q157" s="250"/>
      <c r="R157" s="261"/>
      <c r="S157" s="236">
        <f t="shared" si="7"/>
        <v>0</v>
      </c>
      <c r="T157" s="237">
        <f t="shared" si="8"/>
        <v>0</v>
      </c>
      <c r="U157" s="236">
        <f t="shared" si="9"/>
        <v>0</v>
      </c>
      <c r="V157" s="236">
        <f t="shared" si="10"/>
        <v>0</v>
      </c>
      <c r="W157" s="237">
        <f t="shared" si="11"/>
        <v>0</v>
      </c>
      <c r="X157" s="237"/>
    </row>
    <row r="158" spans="1:24" hidden="1" x14ac:dyDescent="0.25">
      <c r="A158" s="152" t="s">
        <v>245</v>
      </c>
      <c r="B158" s="110" t="s">
        <v>297</v>
      </c>
      <c r="C158" s="351"/>
      <c r="D158" s="350"/>
      <c r="E158" s="349"/>
      <c r="F158" s="276">
        <f>D158*E158</f>
        <v>0</v>
      </c>
      <c r="G158" s="35">
        <f>F158*C4</f>
        <v>0</v>
      </c>
      <c r="H158" s="239"/>
      <c r="I158" s="239"/>
      <c r="J158" s="239"/>
      <c r="K158" s="239"/>
      <c r="L158" s="239"/>
      <c r="M158" s="239"/>
      <c r="N158" s="239"/>
      <c r="O158" s="239"/>
      <c r="P158" s="239"/>
      <c r="Q158" s="250"/>
      <c r="R158" s="261"/>
      <c r="S158" s="222">
        <f t="shared" si="7"/>
        <v>0</v>
      </c>
      <c r="T158" s="228">
        <f t="shared" si="8"/>
        <v>0</v>
      </c>
      <c r="U158" s="222">
        <f t="shared" si="9"/>
        <v>0</v>
      </c>
      <c r="V158" s="222">
        <f t="shared" si="10"/>
        <v>0</v>
      </c>
      <c r="W158" s="228">
        <f t="shared" si="11"/>
        <v>0</v>
      </c>
      <c r="X158" s="228"/>
    </row>
    <row r="159" spans="1:24" hidden="1" x14ac:dyDescent="0.25">
      <c r="A159" s="152" t="s">
        <v>246</v>
      </c>
      <c r="B159" s="110" t="s">
        <v>301</v>
      </c>
      <c r="C159" s="351"/>
      <c r="D159" s="350"/>
      <c r="E159" s="349"/>
      <c r="F159" s="276">
        <f>D159*E159</f>
        <v>0</v>
      </c>
      <c r="G159" s="35">
        <f>F159*C4</f>
        <v>0</v>
      </c>
      <c r="H159" s="239"/>
      <c r="I159" s="239"/>
      <c r="J159" s="239"/>
      <c r="K159" s="239"/>
      <c r="L159" s="239"/>
      <c r="M159" s="239"/>
      <c r="N159" s="239"/>
      <c r="O159" s="239"/>
      <c r="P159" s="239"/>
      <c r="Q159" s="250"/>
      <c r="R159" s="261"/>
      <c r="S159" s="222">
        <f t="shared" si="7"/>
        <v>0</v>
      </c>
      <c r="T159" s="228">
        <f t="shared" si="8"/>
        <v>0</v>
      </c>
      <c r="U159" s="222">
        <f t="shared" si="9"/>
        <v>0</v>
      </c>
      <c r="V159" s="222">
        <f t="shared" si="10"/>
        <v>0</v>
      </c>
      <c r="W159" s="228">
        <f t="shared" si="11"/>
        <v>0</v>
      </c>
      <c r="X159" s="228"/>
    </row>
    <row r="160" spans="1:24" hidden="1" x14ac:dyDescent="0.25">
      <c r="A160" s="152" t="s">
        <v>247</v>
      </c>
      <c r="B160" s="110" t="s">
        <v>300</v>
      </c>
      <c r="C160" s="351"/>
      <c r="D160" s="350"/>
      <c r="E160" s="349"/>
      <c r="F160" s="276">
        <f>D160*E160</f>
        <v>0</v>
      </c>
      <c r="G160" s="35">
        <f>F160*C4</f>
        <v>0</v>
      </c>
      <c r="H160" s="239"/>
      <c r="I160" s="239"/>
      <c r="J160" s="239"/>
      <c r="K160" s="239"/>
      <c r="L160" s="239"/>
      <c r="M160" s="239"/>
      <c r="N160" s="239"/>
      <c r="O160" s="239"/>
      <c r="P160" s="239"/>
      <c r="Q160" s="250"/>
      <c r="R160" s="261"/>
      <c r="S160" s="222">
        <f t="shared" si="7"/>
        <v>0</v>
      </c>
      <c r="T160" s="228">
        <f t="shared" si="8"/>
        <v>0</v>
      </c>
      <c r="U160" s="222">
        <f t="shared" si="9"/>
        <v>0</v>
      </c>
      <c r="V160" s="222">
        <f t="shared" si="10"/>
        <v>0</v>
      </c>
      <c r="W160" s="228">
        <f t="shared" si="11"/>
        <v>0</v>
      </c>
      <c r="X160" s="228"/>
    </row>
    <row r="161" spans="1:24" hidden="1" x14ac:dyDescent="0.25">
      <c r="A161" s="152" t="s">
        <v>248</v>
      </c>
      <c r="B161" s="110" t="s">
        <v>299</v>
      </c>
      <c r="C161" s="351"/>
      <c r="D161" s="350"/>
      <c r="E161" s="349"/>
      <c r="F161" s="276">
        <f>D161*E161</f>
        <v>0</v>
      </c>
      <c r="G161" s="35">
        <f>F161*C4</f>
        <v>0</v>
      </c>
      <c r="H161" s="239"/>
      <c r="I161" s="239"/>
      <c r="J161" s="239"/>
      <c r="K161" s="239"/>
      <c r="L161" s="239"/>
      <c r="M161" s="239"/>
      <c r="N161" s="239"/>
      <c r="O161" s="239"/>
      <c r="P161" s="239"/>
      <c r="Q161" s="250"/>
      <c r="R161" s="261"/>
      <c r="S161" s="222">
        <f t="shared" si="7"/>
        <v>0</v>
      </c>
      <c r="T161" s="228">
        <f t="shared" si="8"/>
        <v>0</v>
      </c>
      <c r="U161" s="222">
        <f t="shared" si="9"/>
        <v>0</v>
      </c>
      <c r="V161" s="222">
        <f t="shared" si="10"/>
        <v>0</v>
      </c>
      <c r="W161" s="228">
        <f t="shared" si="11"/>
        <v>0</v>
      </c>
      <c r="X161" s="228"/>
    </row>
    <row r="162" spans="1:24" hidden="1" x14ac:dyDescent="0.25">
      <c r="A162" s="152" t="s">
        <v>249</v>
      </c>
      <c r="B162" s="110" t="s">
        <v>298</v>
      </c>
      <c r="C162" s="351"/>
      <c r="D162" s="350"/>
      <c r="E162" s="349"/>
      <c r="F162" s="276">
        <f>D162*E162</f>
        <v>0</v>
      </c>
      <c r="G162" s="35">
        <f>F162*C4</f>
        <v>0</v>
      </c>
      <c r="H162" s="239"/>
      <c r="I162" s="239"/>
      <c r="J162" s="239"/>
      <c r="K162" s="239"/>
      <c r="L162" s="239"/>
      <c r="M162" s="239"/>
      <c r="N162" s="239"/>
      <c r="O162" s="239"/>
      <c r="P162" s="239"/>
      <c r="Q162" s="250"/>
      <c r="R162" s="261"/>
      <c r="S162" s="222">
        <f t="shared" si="7"/>
        <v>0</v>
      </c>
      <c r="T162" s="228">
        <f t="shared" si="8"/>
        <v>0</v>
      </c>
      <c r="U162" s="222">
        <f t="shared" si="9"/>
        <v>0</v>
      </c>
      <c r="V162" s="222">
        <f t="shared" si="10"/>
        <v>0</v>
      </c>
      <c r="W162" s="228">
        <f t="shared" si="11"/>
        <v>0</v>
      </c>
      <c r="X162" s="228"/>
    </row>
    <row r="163" spans="1:24" x14ac:dyDescent="0.25">
      <c r="B163" s="153"/>
      <c r="C163" s="348"/>
      <c r="D163" s="347"/>
      <c r="E163" s="346"/>
      <c r="F163" s="276"/>
      <c r="H163" s="239"/>
      <c r="I163" s="239"/>
      <c r="J163" s="239"/>
      <c r="K163" s="239"/>
      <c r="L163" s="239"/>
      <c r="M163" s="239"/>
      <c r="N163" s="239"/>
      <c r="O163" s="239"/>
      <c r="P163" s="239"/>
      <c r="Q163" s="250"/>
      <c r="R163" s="256"/>
      <c r="S163" s="222"/>
      <c r="T163" s="228"/>
      <c r="U163" s="222"/>
      <c r="V163" s="222"/>
      <c r="W163" s="228"/>
      <c r="X163" s="228"/>
    </row>
    <row r="164" spans="1:24" ht="13.8" thickBot="1" x14ac:dyDescent="0.3">
      <c r="A164" s="103"/>
      <c r="B164" s="150" t="s">
        <v>130</v>
      </c>
      <c r="C164" s="294"/>
      <c r="D164" s="293"/>
      <c r="E164" s="292"/>
      <c r="F164" s="316">
        <f>SUM(F103+F109+F115+F121+F127+F133+F139+F145+F151+F157)</f>
        <v>110040</v>
      </c>
      <c r="G164" s="316">
        <f>SUM(G103+G109+G115+G121+G127+G133+G139+G145+G151+G157)</f>
        <v>110040</v>
      </c>
      <c r="H164" s="286"/>
      <c r="I164" s="286"/>
      <c r="J164" s="286"/>
      <c r="K164" s="286"/>
      <c r="L164" s="286"/>
      <c r="M164" s="286"/>
      <c r="N164" s="286"/>
      <c r="O164" s="286"/>
      <c r="P164" s="286"/>
      <c r="Q164" s="312"/>
      <c r="R164" s="311"/>
      <c r="S164" s="234">
        <f t="shared" si="7"/>
        <v>-110040</v>
      </c>
      <c r="T164" s="235">
        <f t="shared" si="8"/>
        <v>-1</v>
      </c>
      <c r="U164" s="234">
        <f t="shared" si="9"/>
        <v>0</v>
      </c>
      <c r="V164" s="234">
        <f t="shared" si="10"/>
        <v>-110040</v>
      </c>
      <c r="W164" s="235">
        <f t="shared" si="11"/>
        <v>-1</v>
      </c>
      <c r="X164" s="235"/>
    </row>
    <row r="165" spans="1:24" ht="13.8" thickTop="1" x14ac:dyDescent="0.25">
      <c r="C165" s="83"/>
      <c r="D165" s="267"/>
      <c r="E165" s="266"/>
      <c r="G165" s="276"/>
      <c r="H165" s="345"/>
      <c r="I165" s="345"/>
      <c r="J165" s="345"/>
      <c r="K165" s="345"/>
      <c r="L165" s="345"/>
      <c r="M165" s="345"/>
      <c r="N165" s="345"/>
      <c r="O165" s="345"/>
      <c r="P165" s="345"/>
      <c r="Q165" s="344"/>
      <c r="R165" s="343"/>
      <c r="S165" s="222"/>
      <c r="T165" s="228"/>
      <c r="U165" s="222"/>
      <c r="V165" s="222"/>
      <c r="W165" s="228"/>
      <c r="X165" s="228"/>
    </row>
    <row r="166" spans="1:24" x14ac:dyDescent="0.25">
      <c r="A166" s="129">
        <v>3</v>
      </c>
      <c r="B166" s="130" t="s">
        <v>133</v>
      </c>
      <c r="C166" s="329"/>
      <c r="D166" s="328"/>
      <c r="E166" s="327"/>
      <c r="F166" s="327"/>
      <c r="G166" s="151"/>
      <c r="H166" s="238"/>
      <c r="I166" s="238"/>
      <c r="J166" s="238"/>
      <c r="K166" s="238"/>
      <c r="L166" s="238"/>
      <c r="M166" s="238"/>
      <c r="N166" s="238"/>
      <c r="O166" s="238"/>
      <c r="P166" s="238"/>
      <c r="Q166" s="251"/>
      <c r="R166" s="259"/>
      <c r="S166" s="227"/>
      <c r="T166" s="229"/>
      <c r="U166" s="227"/>
      <c r="V166" s="227"/>
      <c r="W166" s="229"/>
      <c r="X166" s="229"/>
    </row>
    <row r="167" spans="1:24" x14ac:dyDescent="0.25">
      <c r="A167" s="161" t="s">
        <v>138</v>
      </c>
      <c r="B167" s="144" t="s">
        <v>116</v>
      </c>
      <c r="C167" s="310"/>
      <c r="D167" s="339"/>
      <c r="E167" s="338"/>
      <c r="F167" s="320">
        <f>D167*E167</f>
        <v>0</v>
      </c>
      <c r="G167" s="37">
        <f>F167*C4</f>
        <v>0</v>
      </c>
      <c r="H167" s="239"/>
      <c r="I167" s="239"/>
      <c r="J167" s="239"/>
      <c r="K167" s="239"/>
      <c r="L167" s="239"/>
      <c r="M167" s="239"/>
      <c r="N167" s="239"/>
      <c r="O167" s="239"/>
      <c r="P167" s="239"/>
      <c r="Q167" s="250"/>
      <c r="R167" s="261"/>
      <c r="S167" s="222">
        <f t="shared" si="7"/>
        <v>0</v>
      </c>
      <c r="T167" s="228">
        <f t="shared" si="8"/>
        <v>0</v>
      </c>
      <c r="U167" s="222">
        <f t="shared" si="9"/>
        <v>0</v>
      </c>
      <c r="V167" s="222">
        <f t="shared" si="10"/>
        <v>0</v>
      </c>
      <c r="W167" s="228">
        <f t="shared" si="11"/>
        <v>0</v>
      </c>
      <c r="X167" s="228"/>
    </row>
    <row r="168" spans="1:24" x14ac:dyDescent="0.25">
      <c r="A168" s="161" t="s">
        <v>139</v>
      </c>
      <c r="B168" s="144" t="s">
        <v>52</v>
      </c>
      <c r="C168" s="310"/>
      <c r="D168" s="339"/>
      <c r="E168" s="338"/>
      <c r="F168" s="320">
        <f t="shared" ref="F168:F176" si="12">D168*E168</f>
        <v>0</v>
      </c>
      <c r="G168" s="37">
        <f>F168*C4</f>
        <v>0</v>
      </c>
      <c r="H168" s="239"/>
      <c r="I168" s="239"/>
      <c r="J168" s="239"/>
      <c r="K168" s="239"/>
      <c r="L168" s="239"/>
      <c r="M168" s="239"/>
      <c r="N168" s="239"/>
      <c r="O168" s="239"/>
      <c r="P168" s="239"/>
      <c r="Q168" s="250"/>
      <c r="R168" s="261"/>
      <c r="S168" s="222">
        <f t="shared" si="7"/>
        <v>0</v>
      </c>
      <c r="T168" s="228">
        <f t="shared" si="8"/>
        <v>0</v>
      </c>
      <c r="U168" s="222">
        <f t="shared" si="9"/>
        <v>0</v>
      </c>
      <c r="V168" s="222">
        <f t="shared" si="10"/>
        <v>0</v>
      </c>
      <c r="W168" s="228">
        <f t="shared" si="11"/>
        <v>0</v>
      </c>
      <c r="X168" s="228"/>
    </row>
    <row r="169" spans="1:24" x14ac:dyDescent="0.25">
      <c r="A169" s="161" t="s">
        <v>140</v>
      </c>
      <c r="B169" s="144" t="s">
        <v>313</v>
      </c>
      <c r="C169" s="342"/>
      <c r="D169" s="309"/>
      <c r="E169" s="308"/>
      <c r="F169" s="320">
        <f t="shared" si="12"/>
        <v>0</v>
      </c>
      <c r="G169" s="37">
        <f>F169*C4</f>
        <v>0</v>
      </c>
      <c r="H169" s="239"/>
      <c r="I169" s="239"/>
      <c r="J169" s="239"/>
      <c r="K169" s="239"/>
      <c r="L169" s="239"/>
      <c r="M169" s="239"/>
      <c r="N169" s="239"/>
      <c r="O169" s="239"/>
      <c r="P169" s="239"/>
      <c r="Q169" s="250"/>
      <c r="R169" s="261"/>
      <c r="S169" s="222">
        <f t="shared" si="7"/>
        <v>0</v>
      </c>
      <c r="T169" s="228">
        <f t="shared" si="8"/>
        <v>0</v>
      </c>
      <c r="U169" s="222">
        <f t="shared" si="9"/>
        <v>0</v>
      </c>
      <c r="V169" s="222">
        <f t="shared" si="10"/>
        <v>0</v>
      </c>
      <c r="W169" s="228">
        <f t="shared" si="11"/>
        <v>0</v>
      </c>
      <c r="X169" s="228"/>
    </row>
    <row r="170" spans="1:24" x14ac:dyDescent="0.25">
      <c r="A170" s="161" t="s">
        <v>141</v>
      </c>
      <c r="B170" s="144" t="s">
        <v>146</v>
      </c>
      <c r="C170" s="342"/>
      <c r="D170" s="309"/>
      <c r="E170" s="308"/>
      <c r="F170" s="320">
        <f t="shared" si="12"/>
        <v>0</v>
      </c>
      <c r="G170" s="37">
        <f>F170*C4</f>
        <v>0</v>
      </c>
      <c r="H170" s="239"/>
      <c r="I170" s="239"/>
      <c r="J170" s="239"/>
      <c r="K170" s="239"/>
      <c r="L170" s="239"/>
      <c r="M170" s="239"/>
      <c r="N170" s="239"/>
      <c r="O170" s="239"/>
      <c r="P170" s="239"/>
      <c r="Q170" s="250"/>
      <c r="R170" s="261"/>
      <c r="S170" s="222">
        <f t="shared" si="7"/>
        <v>0</v>
      </c>
      <c r="T170" s="228">
        <f t="shared" si="8"/>
        <v>0</v>
      </c>
      <c r="U170" s="222">
        <f t="shared" si="9"/>
        <v>0</v>
      </c>
      <c r="V170" s="222">
        <f t="shared" si="10"/>
        <v>0</v>
      </c>
      <c r="W170" s="228">
        <f t="shared" si="11"/>
        <v>0</v>
      </c>
      <c r="X170" s="228"/>
    </row>
    <row r="171" spans="1:24" ht="15" customHeight="1" x14ac:dyDescent="0.25">
      <c r="A171" s="161" t="s">
        <v>142</v>
      </c>
      <c r="B171" s="144" t="s">
        <v>147</v>
      </c>
      <c r="C171" s="342"/>
      <c r="D171" s="309"/>
      <c r="E171" s="308"/>
      <c r="F171" s="320">
        <f t="shared" si="12"/>
        <v>0</v>
      </c>
      <c r="G171" s="37">
        <f>F171*C4</f>
        <v>0</v>
      </c>
      <c r="H171" s="239"/>
      <c r="I171" s="239"/>
      <c r="J171" s="239"/>
      <c r="K171" s="239"/>
      <c r="L171" s="239"/>
      <c r="M171" s="239"/>
      <c r="N171" s="239"/>
      <c r="O171" s="239"/>
      <c r="P171" s="239"/>
      <c r="Q171" s="250"/>
      <c r="R171" s="261"/>
      <c r="S171" s="222">
        <f t="shared" si="7"/>
        <v>0</v>
      </c>
      <c r="T171" s="228">
        <f t="shared" si="8"/>
        <v>0</v>
      </c>
      <c r="U171" s="222">
        <f t="shared" si="9"/>
        <v>0</v>
      </c>
      <c r="V171" s="222">
        <f t="shared" si="10"/>
        <v>0</v>
      </c>
      <c r="W171" s="228">
        <f t="shared" si="11"/>
        <v>0</v>
      </c>
      <c r="X171" s="228"/>
    </row>
    <row r="172" spans="1:24" ht="15" customHeight="1" x14ac:dyDescent="0.25">
      <c r="A172" s="161" t="s">
        <v>143</v>
      </c>
      <c r="B172" s="144" t="s">
        <v>251</v>
      </c>
      <c r="C172" s="342"/>
      <c r="D172" s="309"/>
      <c r="E172" s="308"/>
      <c r="F172" s="320">
        <f>D172*E172</f>
        <v>0</v>
      </c>
      <c r="G172" s="37"/>
      <c r="H172" s="239"/>
      <c r="I172" s="239"/>
      <c r="J172" s="239"/>
      <c r="K172" s="239"/>
      <c r="L172" s="239"/>
      <c r="M172" s="239"/>
      <c r="N172" s="239"/>
      <c r="O172" s="239"/>
      <c r="P172" s="239"/>
      <c r="Q172" s="250"/>
      <c r="R172" s="261"/>
      <c r="S172" s="222">
        <f t="shared" si="7"/>
        <v>0</v>
      </c>
      <c r="T172" s="228">
        <f t="shared" si="8"/>
        <v>0</v>
      </c>
      <c r="U172" s="222">
        <f t="shared" si="9"/>
        <v>0</v>
      </c>
      <c r="V172" s="222">
        <f t="shared" si="10"/>
        <v>0</v>
      </c>
      <c r="W172" s="228">
        <f t="shared" si="11"/>
        <v>0</v>
      </c>
      <c r="X172" s="228"/>
    </row>
    <row r="173" spans="1:24" ht="15" customHeight="1" x14ac:dyDescent="0.25">
      <c r="A173" s="200">
        <v>3.7</v>
      </c>
      <c r="B173" s="144" t="s">
        <v>312</v>
      </c>
      <c r="C173" s="342"/>
      <c r="D173" s="309"/>
      <c r="E173" s="308"/>
      <c r="F173" s="320">
        <f>D173*E173</f>
        <v>0</v>
      </c>
      <c r="G173" s="37"/>
      <c r="H173" s="239"/>
      <c r="I173" s="239"/>
      <c r="J173" s="239"/>
      <c r="K173" s="239"/>
      <c r="L173" s="239"/>
      <c r="M173" s="239"/>
      <c r="N173" s="239"/>
      <c r="O173" s="239"/>
      <c r="P173" s="239"/>
      <c r="Q173" s="250"/>
      <c r="R173" s="261"/>
      <c r="S173" s="222"/>
      <c r="T173" s="228"/>
      <c r="U173" s="222"/>
      <c r="V173" s="222"/>
      <c r="W173" s="228"/>
      <c r="X173" s="228"/>
    </row>
    <row r="174" spans="1:24" ht="15" customHeight="1" x14ac:dyDescent="0.25">
      <c r="A174" s="200">
        <v>3.8</v>
      </c>
      <c r="B174" s="144" t="s">
        <v>308</v>
      </c>
      <c r="C174" s="342"/>
      <c r="D174" s="309"/>
      <c r="E174" s="308"/>
      <c r="F174" s="320">
        <f t="shared" si="12"/>
        <v>0</v>
      </c>
      <c r="G174" s="37"/>
      <c r="H174" s="239"/>
      <c r="I174" s="239"/>
      <c r="J174" s="239"/>
      <c r="K174" s="239"/>
      <c r="L174" s="239"/>
      <c r="M174" s="239"/>
      <c r="N174" s="239"/>
      <c r="O174" s="239"/>
      <c r="P174" s="239"/>
      <c r="Q174" s="250"/>
      <c r="R174" s="261"/>
      <c r="S174" s="222"/>
      <c r="T174" s="228"/>
      <c r="U174" s="222"/>
      <c r="V174" s="222"/>
      <c r="W174" s="228"/>
      <c r="X174" s="228"/>
    </row>
    <row r="175" spans="1:24" x14ac:dyDescent="0.25">
      <c r="A175" s="200">
        <v>3.9</v>
      </c>
      <c r="B175" s="144" t="s">
        <v>145</v>
      </c>
      <c r="C175" s="342"/>
      <c r="D175" s="309">
        <v>1</v>
      </c>
      <c r="E175" s="308">
        <v>25000</v>
      </c>
      <c r="F175" s="320">
        <f t="shared" si="12"/>
        <v>25000</v>
      </c>
      <c r="G175" s="37">
        <f>F175*C4</f>
        <v>25000</v>
      </c>
      <c r="H175" s="239"/>
      <c r="I175" s="239"/>
      <c r="J175" s="239"/>
      <c r="K175" s="239"/>
      <c r="L175" s="239"/>
      <c r="M175" s="239"/>
      <c r="N175" s="239"/>
      <c r="O175" s="239"/>
      <c r="P175" s="239"/>
      <c r="Q175" s="250"/>
      <c r="R175" s="261"/>
      <c r="S175" s="222">
        <f t="shared" si="7"/>
        <v>-25000</v>
      </c>
      <c r="T175" s="228">
        <f t="shared" si="8"/>
        <v>-1</v>
      </c>
      <c r="U175" s="222">
        <f t="shared" si="9"/>
        <v>0</v>
      </c>
      <c r="V175" s="222">
        <f t="shared" si="10"/>
        <v>-25000</v>
      </c>
      <c r="W175" s="228">
        <f t="shared" si="11"/>
        <v>-1</v>
      </c>
      <c r="X175" s="228"/>
    </row>
    <row r="176" spans="1:24" x14ac:dyDescent="0.25">
      <c r="A176" s="161">
        <v>3.1</v>
      </c>
      <c r="B176" s="144" t="s">
        <v>171</v>
      </c>
      <c r="C176" s="342"/>
      <c r="D176" s="309">
        <v>1</v>
      </c>
      <c r="E176" s="308">
        <v>5366</v>
      </c>
      <c r="F176" s="320">
        <f t="shared" si="12"/>
        <v>5366</v>
      </c>
      <c r="G176" s="37">
        <f>F176*C4</f>
        <v>5366</v>
      </c>
      <c r="H176" s="239"/>
      <c r="I176" s="239"/>
      <c r="J176" s="239"/>
      <c r="K176" s="239"/>
      <c r="L176" s="239"/>
      <c r="M176" s="239"/>
      <c r="N176" s="239"/>
      <c r="O176" s="239"/>
      <c r="P176" s="239"/>
      <c r="Q176" s="250"/>
      <c r="R176" s="261"/>
      <c r="S176" s="222">
        <f t="shared" si="7"/>
        <v>-5366</v>
      </c>
      <c r="T176" s="228">
        <f t="shared" si="8"/>
        <v>-1</v>
      </c>
      <c r="U176" s="222">
        <f t="shared" si="9"/>
        <v>0</v>
      </c>
      <c r="V176" s="222">
        <f t="shared" si="10"/>
        <v>-5366</v>
      </c>
      <c r="W176" s="228">
        <f t="shared" si="11"/>
        <v>-1</v>
      </c>
      <c r="X176" s="228"/>
    </row>
    <row r="177" spans="1:24" x14ac:dyDescent="0.25">
      <c r="B177" s="113"/>
      <c r="C177" s="83"/>
      <c r="D177" s="267"/>
      <c r="E177" s="266"/>
      <c r="G177" s="276"/>
      <c r="H177" s="345"/>
      <c r="I177" s="345"/>
      <c r="J177" s="345"/>
      <c r="K177" s="345"/>
      <c r="L177" s="345"/>
      <c r="M177" s="345"/>
      <c r="N177" s="345"/>
      <c r="O177" s="345"/>
      <c r="P177" s="345"/>
      <c r="Q177" s="344"/>
      <c r="R177" s="343"/>
      <c r="S177" s="222"/>
      <c r="T177" s="228"/>
      <c r="U177" s="222"/>
      <c r="V177" s="222"/>
      <c r="W177" s="228"/>
      <c r="X177" s="228"/>
    </row>
    <row r="178" spans="1:24" ht="13.8" thickBot="1" x14ac:dyDescent="0.3">
      <c r="A178" s="103"/>
      <c r="B178" s="150" t="s">
        <v>114</v>
      </c>
      <c r="C178" s="294"/>
      <c r="D178" s="293"/>
      <c r="E178" s="292"/>
      <c r="F178" s="316">
        <f>SUM(F167:F176)</f>
        <v>30366</v>
      </c>
      <c r="G178" s="316">
        <f>SUM(G167:G176)</f>
        <v>30366</v>
      </c>
      <c r="H178" s="286"/>
      <c r="I178" s="286"/>
      <c r="J178" s="286"/>
      <c r="K178" s="286"/>
      <c r="L178" s="286"/>
      <c r="M178" s="286"/>
      <c r="N178" s="286"/>
      <c r="O178" s="286"/>
      <c r="P178" s="286"/>
      <c r="Q178" s="312"/>
      <c r="R178" s="311"/>
      <c r="S178" s="234">
        <f t="shared" si="7"/>
        <v>-30366</v>
      </c>
      <c r="T178" s="235">
        <f t="shared" si="8"/>
        <v>-1</v>
      </c>
      <c r="U178" s="234">
        <f t="shared" si="9"/>
        <v>0</v>
      </c>
      <c r="V178" s="234">
        <f t="shared" si="10"/>
        <v>-30366</v>
      </c>
      <c r="W178" s="235">
        <f t="shared" si="11"/>
        <v>-1</v>
      </c>
      <c r="X178" s="235"/>
    </row>
    <row r="179" spans="1:24" ht="13.8" thickTop="1" x14ac:dyDescent="0.25">
      <c r="B179" s="81"/>
      <c r="C179" s="341"/>
      <c r="D179" s="340"/>
      <c r="E179" s="268"/>
      <c r="F179" s="276"/>
      <c r="G179" s="1"/>
      <c r="H179" s="239"/>
      <c r="I179" s="239"/>
      <c r="J179" s="239"/>
      <c r="K179" s="239"/>
      <c r="L179" s="239"/>
      <c r="M179" s="239"/>
      <c r="N179" s="239"/>
      <c r="O179" s="239"/>
      <c r="P179" s="239"/>
      <c r="Q179" s="250"/>
      <c r="R179" s="256"/>
      <c r="S179" s="222"/>
      <c r="T179" s="228"/>
      <c r="U179" s="222"/>
      <c r="V179" s="222"/>
      <c r="W179" s="228"/>
      <c r="X179" s="228"/>
    </row>
    <row r="180" spans="1:24" x14ac:dyDescent="0.25">
      <c r="A180" s="129">
        <v>4</v>
      </c>
      <c r="B180" s="130" t="s">
        <v>113</v>
      </c>
      <c r="C180" s="329"/>
      <c r="D180" s="328"/>
      <c r="E180" s="327"/>
      <c r="F180" s="327"/>
      <c r="G180" s="151"/>
      <c r="H180" s="238"/>
      <c r="I180" s="238"/>
      <c r="J180" s="238"/>
      <c r="K180" s="238"/>
      <c r="L180" s="238"/>
      <c r="M180" s="238"/>
      <c r="N180" s="238"/>
      <c r="O180" s="238"/>
      <c r="P180" s="238"/>
      <c r="Q180" s="251"/>
      <c r="R180" s="259"/>
      <c r="S180" s="227"/>
      <c r="T180" s="229"/>
      <c r="U180" s="227"/>
      <c r="V180" s="227"/>
      <c r="W180" s="229"/>
      <c r="X180" s="229"/>
    </row>
    <row r="181" spans="1:24" x14ac:dyDescent="0.25">
      <c r="A181" s="74" t="s">
        <v>19</v>
      </c>
      <c r="B181" s="81"/>
      <c r="C181" s="341"/>
      <c r="D181" s="340"/>
      <c r="E181" s="268"/>
      <c r="F181" s="276"/>
      <c r="G181" s="1"/>
      <c r="H181" s="239"/>
      <c r="I181" s="239"/>
      <c r="J181" s="239"/>
      <c r="K181" s="239"/>
      <c r="L181" s="239"/>
      <c r="M181" s="239"/>
      <c r="N181" s="239"/>
      <c r="O181" s="239"/>
      <c r="P181" s="239"/>
      <c r="Q181" s="250"/>
      <c r="R181" s="256"/>
      <c r="S181" s="222"/>
      <c r="T181" s="228"/>
      <c r="U181" s="222"/>
      <c r="V181" s="222"/>
      <c r="W181" s="228"/>
      <c r="X181" s="228"/>
    </row>
    <row r="182" spans="1:24" x14ac:dyDescent="0.25">
      <c r="A182" s="81" t="s">
        <v>148</v>
      </c>
      <c r="B182" s="167" t="s">
        <v>48</v>
      </c>
      <c r="C182" s="310"/>
      <c r="D182" s="339"/>
      <c r="E182" s="338"/>
      <c r="F182" s="276">
        <f>D182*E182</f>
        <v>0</v>
      </c>
      <c r="G182" s="1">
        <f>F182*C4</f>
        <v>0</v>
      </c>
      <c r="H182" s="239"/>
      <c r="I182" s="239"/>
      <c r="J182" s="239"/>
      <c r="K182" s="239"/>
      <c r="L182" s="239"/>
      <c r="M182" s="239"/>
      <c r="N182" s="239"/>
      <c r="O182" s="239"/>
      <c r="P182" s="239"/>
      <c r="Q182" s="250"/>
      <c r="R182" s="261"/>
      <c r="S182" s="222">
        <f t="shared" si="7"/>
        <v>0</v>
      </c>
      <c r="T182" s="228">
        <f t="shared" si="8"/>
        <v>0</v>
      </c>
      <c r="U182" s="222">
        <f t="shared" si="9"/>
        <v>0</v>
      </c>
      <c r="V182" s="222">
        <f t="shared" si="10"/>
        <v>0</v>
      </c>
      <c r="W182" s="228">
        <f t="shared" si="11"/>
        <v>0</v>
      </c>
      <c r="X182" s="228"/>
    </row>
    <row r="183" spans="1:24" x14ac:dyDescent="0.25">
      <c r="A183" s="81" t="s">
        <v>149</v>
      </c>
      <c r="B183" s="167" t="s">
        <v>49</v>
      </c>
      <c r="C183" s="310"/>
      <c r="D183" s="339"/>
      <c r="E183" s="338"/>
      <c r="F183" s="276">
        <f>D183*E183</f>
        <v>0</v>
      </c>
      <c r="G183" s="1">
        <f>F183*C4</f>
        <v>0</v>
      </c>
      <c r="H183" s="239"/>
      <c r="I183" s="239"/>
      <c r="J183" s="239"/>
      <c r="K183" s="239"/>
      <c r="L183" s="239"/>
      <c r="M183" s="239"/>
      <c r="N183" s="239"/>
      <c r="O183" s="239"/>
      <c r="P183" s="239"/>
      <c r="Q183" s="250"/>
      <c r="R183" s="261"/>
      <c r="S183" s="222">
        <f t="shared" si="7"/>
        <v>0</v>
      </c>
      <c r="T183" s="228">
        <f t="shared" si="8"/>
        <v>0</v>
      </c>
      <c r="U183" s="222">
        <f t="shared" si="9"/>
        <v>0</v>
      </c>
      <c r="V183" s="222">
        <f t="shared" si="10"/>
        <v>0</v>
      </c>
      <c r="W183" s="228">
        <f t="shared" si="11"/>
        <v>0</v>
      </c>
      <c r="X183" s="228"/>
    </row>
    <row r="184" spans="1:24" x14ac:dyDescent="0.25">
      <c r="A184" s="74" t="s">
        <v>7</v>
      </c>
      <c r="B184" s="141"/>
      <c r="C184" s="337"/>
      <c r="D184" s="336"/>
      <c r="E184" s="335"/>
      <c r="F184" s="276"/>
      <c r="G184" s="1"/>
      <c r="H184" s="239"/>
      <c r="I184" s="239"/>
      <c r="J184" s="239"/>
      <c r="K184" s="239"/>
      <c r="L184" s="239"/>
      <c r="M184" s="239"/>
      <c r="N184" s="239"/>
      <c r="O184" s="239"/>
      <c r="P184" s="239"/>
      <c r="Q184" s="250"/>
      <c r="R184" s="256"/>
      <c r="S184" s="222"/>
      <c r="T184" s="228"/>
      <c r="U184" s="222"/>
      <c r="V184" s="222"/>
      <c r="W184" s="228"/>
      <c r="X184" s="228"/>
    </row>
    <row r="185" spans="1:24" x14ac:dyDescent="0.25">
      <c r="A185" s="81" t="s">
        <v>150</v>
      </c>
      <c r="B185" s="167" t="s">
        <v>50</v>
      </c>
      <c r="C185" s="309"/>
      <c r="D185" s="308"/>
      <c r="E185" s="307"/>
      <c r="F185" s="276">
        <f>D185*E185</f>
        <v>0</v>
      </c>
      <c r="G185" s="35">
        <f>F185*C4</f>
        <v>0</v>
      </c>
      <c r="H185" s="239"/>
      <c r="I185" s="239"/>
      <c r="J185" s="239"/>
      <c r="K185" s="239"/>
      <c r="L185" s="239"/>
      <c r="M185" s="239"/>
      <c r="N185" s="239"/>
      <c r="O185" s="239"/>
      <c r="P185" s="239"/>
      <c r="Q185" s="250"/>
      <c r="R185" s="261"/>
      <c r="S185" s="222">
        <f t="shared" si="7"/>
        <v>0</v>
      </c>
      <c r="T185" s="228">
        <f t="shared" si="8"/>
        <v>0</v>
      </c>
      <c r="U185" s="222">
        <f t="shared" si="9"/>
        <v>0</v>
      </c>
      <c r="V185" s="222">
        <f t="shared" si="10"/>
        <v>0</v>
      </c>
      <c r="W185" s="228">
        <f t="shared" si="11"/>
        <v>0</v>
      </c>
      <c r="X185" s="228"/>
    </row>
    <row r="186" spans="1:24" x14ac:dyDescent="0.25">
      <c r="A186" s="81" t="s">
        <v>151</v>
      </c>
      <c r="B186" s="141" t="s">
        <v>51</v>
      </c>
      <c r="C186" s="309"/>
      <c r="D186" s="308"/>
      <c r="E186" s="307"/>
      <c r="F186" s="276">
        <f>D186*E186</f>
        <v>0</v>
      </c>
      <c r="G186" s="35">
        <f>F186*C4</f>
        <v>0</v>
      </c>
      <c r="H186" s="239"/>
      <c r="I186" s="239"/>
      <c r="J186" s="239"/>
      <c r="K186" s="239"/>
      <c r="L186" s="239"/>
      <c r="M186" s="239"/>
      <c r="N186" s="239"/>
      <c r="O186" s="239"/>
      <c r="P186" s="239"/>
      <c r="Q186" s="250"/>
      <c r="R186" s="261"/>
      <c r="S186" s="222">
        <f t="shared" si="7"/>
        <v>0</v>
      </c>
      <c r="T186" s="228">
        <f t="shared" si="8"/>
        <v>0</v>
      </c>
      <c r="U186" s="222">
        <f t="shared" si="9"/>
        <v>0</v>
      </c>
      <c r="V186" s="222">
        <f t="shared" si="10"/>
        <v>0</v>
      </c>
      <c r="W186" s="228">
        <f t="shared" si="11"/>
        <v>0</v>
      </c>
      <c r="X186" s="228"/>
    </row>
    <row r="187" spans="1:24" x14ac:dyDescent="0.25">
      <c r="A187" s="74" t="s">
        <v>8</v>
      </c>
      <c r="B187" s="141"/>
      <c r="C187" s="334"/>
      <c r="D187" s="333"/>
      <c r="E187" s="332"/>
      <c r="F187" s="276"/>
      <c r="G187" s="1"/>
      <c r="H187" s="239"/>
      <c r="I187" s="239"/>
      <c r="J187" s="239"/>
      <c r="K187" s="239"/>
      <c r="L187" s="239"/>
      <c r="M187" s="239"/>
      <c r="N187" s="239"/>
      <c r="O187" s="239"/>
      <c r="P187" s="239"/>
      <c r="Q187" s="250"/>
      <c r="R187" s="256"/>
      <c r="S187" s="222"/>
      <c r="T187" s="228"/>
      <c r="U187" s="222"/>
      <c r="V187" s="222"/>
      <c r="W187" s="228"/>
      <c r="X187" s="228"/>
    </row>
    <row r="188" spans="1:24" x14ac:dyDescent="0.25">
      <c r="A188" s="81" t="s">
        <v>156</v>
      </c>
      <c r="B188" s="144" t="s">
        <v>187</v>
      </c>
      <c r="C188" s="309"/>
      <c r="D188" s="308"/>
      <c r="E188" s="307"/>
      <c r="F188" s="276">
        <f>D188*E188</f>
        <v>0</v>
      </c>
      <c r="G188" s="1">
        <f>F188*C4</f>
        <v>0</v>
      </c>
      <c r="H188" s="239"/>
      <c r="I188" s="239"/>
      <c r="J188" s="239"/>
      <c r="K188" s="239"/>
      <c r="L188" s="239"/>
      <c r="M188" s="239"/>
      <c r="N188" s="239"/>
      <c r="O188" s="239"/>
      <c r="P188" s="239"/>
      <c r="Q188" s="250"/>
      <c r="R188" s="261"/>
      <c r="S188" s="222">
        <f t="shared" si="7"/>
        <v>0</v>
      </c>
      <c r="T188" s="228">
        <f t="shared" si="8"/>
        <v>0</v>
      </c>
      <c r="U188" s="222">
        <f t="shared" si="9"/>
        <v>0</v>
      </c>
      <c r="V188" s="222">
        <f t="shared" si="10"/>
        <v>0</v>
      </c>
      <c r="W188" s="228">
        <f t="shared" si="11"/>
        <v>0</v>
      </c>
      <c r="X188" s="228"/>
    </row>
    <row r="189" spans="1:24" x14ac:dyDescent="0.25">
      <c r="A189" s="81" t="s">
        <v>152</v>
      </c>
      <c r="B189" s="153" t="s">
        <v>54</v>
      </c>
      <c r="C189" s="309"/>
      <c r="D189" s="308"/>
      <c r="E189" s="307"/>
      <c r="F189" s="276">
        <f>D189*E189</f>
        <v>0</v>
      </c>
      <c r="G189" s="1">
        <f>F189*C4</f>
        <v>0</v>
      </c>
      <c r="H189" s="239"/>
      <c r="I189" s="239"/>
      <c r="J189" s="239"/>
      <c r="K189" s="239"/>
      <c r="L189" s="239"/>
      <c r="M189" s="239"/>
      <c r="N189" s="239"/>
      <c r="O189" s="239"/>
      <c r="P189" s="239"/>
      <c r="Q189" s="250"/>
      <c r="R189" s="261"/>
      <c r="S189" s="222">
        <f t="shared" si="7"/>
        <v>0</v>
      </c>
      <c r="T189" s="228">
        <f t="shared" si="8"/>
        <v>0</v>
      </c>
      <c r="U189" s="222">
        <f t="shared" si="9"/>
        <v>0</v>
      </c>
      <c r="V189" s="222">
        <f t="shared" si="10"/>
        <v>0</v>
      </c>
      <c r="W189" s="228">
        <f t="shared" si="11"/>
        <v>0</v>
      </c>
      <c r="X189" s="228"/>
    </row>
    <row r="190" spans="1:24" x14ac:dyDescent="0.25">
      <c r="A190" s="81" t="s">
        <v>153</v>
      </c>
      <c r="B190" s="153" t="s">
        <v>55</v>
      </c>
      <c r="C190" s="309"/>
      <c r="D190" s="308"/>
      <c r="E190" s="331"/>
      <c r="F190" s="276">
        <f>D190*E190</f>
        <v>0</v>
      </c>
      <c r="G190" s="1">
        <f>F190*C4</f>
        <v>0</v>
      </c>
      <c r="H190" s="239"/>
      <c r="I190" s="239"/>
      <c r="J190" s="239"/>
      <c r="K190" s="239"/>
      <c r="L190" s="239"/>
      <c r="M190" s="239"/>
      <c r="N190" s="239"/>
      <c r="O190" s="239"/>
      <c r="P190" s="239"/>
      <c r="Q190" s="250"/>
      <c r="R190" s="261"/>
      <c r="S190" s="222">
        <f t="shared" si="7"/>
        <v>0</v>
      </c>
      <c r="T190" s="228">
        <f t="shared" si="8"/>
        <v>0</v>
      </c>
      <c r="U190" s="222">
        <f t="shared" si="9"/>
        <v>0</v>
      </c>
      <c r="V190" s="222">
        <f t="shared" si="10"/>
        <v>0</v>
      </c>
      <c r="W190" s="228">
        <f t="shared" si="11"/>
        <v>0</v>
      </c>
      <c r="X190" s="228"/>
    </row>
    <row r="191" spans="1:24" x14ac:dyDescent="0.25">
      <c r="A191" s="81" t="s">
        <v>154</v>
      </c>
      <c r="B191" s="153" t="s">
        <v>131</v>
      </c>
      <c r="C191" s="309"/>
      <c r="D191" s="308"/>
      <c r="E191" s="330"/>
      <c r="F191" s="276">
        <f>D191*E191</f>
        <v>0</v>
      </c>
      <c r="G191" s="1">
        <f>F191*C4</f>
        <v>0</v>
      </c>
      <c r="H191" s="239"/>
      <c r="I191" s="239"/>
      <c r="J191" s="239"/>
      <c r="K191" s="239"/>
      <c r="L191" s="239"/>
      <c r="M191" s="239"/>
      <c r="N191" s="239"/>
      <c r="O191" s="239"/>
      <c r="P191" s="239"/>
      <c r="Q191" s="250"/>
      <c r="R191" s="261"/>
      <c r="S191" s="222">
        <f t="shared" si="7"/>
        <v>0</v>
      </c>
      <c r="T191" s="228">
        <f t="shared" si="8"/>
        <v>0</v>
      </c>
      <c r="U191" s="222">
        <f t="shared" si="9"/>
        <v>0</v>
      </c>
      <c r="V191" s="222">
        <f t="shared" si="10"/>
        <v>0</v>
      </c>
      <c r="W191" s="228">
        <f t="shared" si="11"/>
        <v>0</v>
      </c>
      <c r="X191" s="228"/>
    </row>
    <row r="192" spans="1:24" x14ac:dyDescent="0.25">
      <c r="A192" s="81" t="s">
        <v>155</v>
      </c>
      <c r="B192" s="153" t="s">
        <v>132</v>
      </c>
      <c r="C192" s="309"/>
      <c r="D192" s="308"/>
      <c r="E192" s="330"/>
      <c r="F192" s="276">
        <f>D192*E192</f>
        <v>0</v>
      </c>
      <c r="G192" s="1">
        <f>F192*C4</f>
        <v>0</v>
      </c>
      <c r="H192" s="239"/>
      <c r="I192" s="239"/>
      <c r="J192" s="239"/>
      <c r="K192" s="239"/>
      <c r="L192" s="239"/>
      <c r="M192" s="239"/>
      <c r="N192" s="239"/>
      <c r="O192" s="239"/>
      <c r="P192" s="239"/>
      <c r="Q192" s="250"/>
      <c r="R192" s="261"/>
      <c r="S192" s="222">
        <f t="shared" si="7"/>
        <v>0</v>
      </c>
      <c r="T192" s="228">
        <f t="shared" si="8"/>
        <v>0</v>
      </c>
      <c r="U192" s="222">
        <f t="shared" si="9"/>
        <v>0</v>
      </c>
      <c r="V192" s="222">
        <f t="shared" si="10"/>
        <v>0</v>
      </c>
      <c r="W192" s="228">
        <f t="shared" si="11"/>
        <v>0</v>
      </c>
      <c r="X192" s="228"/>
    </row>
    <row r="193" spans="1:24" x14ac:dyDescent="0.25">
      <c r="C193" s="5"/>
      <c r="D193" s="5"/>
      <c r="E193" s="5"/>
      <c r="F193" s="172"/>
      <c r="H193" s="239"/>
      <c r="I193" s="239"/>
      <c r="J193" s="239"/>
      <c r="K193" s="239"/>
      <c r="L193" s="239"/>
      <c r="M193" s="239"/>
      <c r="N193" s="239"/>
      <c r="O193" s="239"/>
      <c r="P193" s="239"/>
      <c r="Q193" s="250"/>
      <c r="R193" s="256"/>
      <c r="S193" s="222"/>
      <c r="T193" s="228"/>
      <c r="U193" s="222"/>
      <c r="V193" s="222"/>
      <c r="W193" s="228"/>
      <c r="X193" s="228"/>
    </row>
    <row r="194" spans="1:24" x14ac:dyDescent="0.25">
      <c r="A194" s="203"/>
      <c r="B194" s="204" t="s">
        <v>194</v>
      </c>
      <c r="C194" s="204"/>
      <c r="D194" s="204"/>
      <c r="E194" s="204"/>
      <c r="F194" s="205">
        <f>SUM(F182:F184)</f>
        <v>0</v>
      </c>
      <c r="G194" s="204">
        <f>SUM(G182:G184)</f>
        <v>0</v>
      </c>
      <c r="H194" s="239"/>
      <c r="I194" s="239"/>
      <c r="J194" s="239"/>
      <c r="K194" s="239"/>
      <c r="L194" s="239"/>
      <c r="M194" s="239"/>
      <c r="N194" s="239"/>
      <c r="O194" s="239"/>
      <c r="P194" s="239"/>
      <c r="Q194" s="250"/>
      <c r="R194" s="256"/>
      <c r="S194" s="222">
        <f t="shared" si="7"/>
        <v>0</v>
      </c>
      <c r="T194" s="228">
        <f t="shared" si="8"/>
        <v>0</v>
      </c>
      <c r="U194" s="222">
        <f t="shared" si="9"/>
        <v>0</v>
      </c>
      <c r="V194" s="222">
        <f t="shared" si="10"/>
        <v>0</v>
      </c>
      <c r="W194" s="228">
        <f t="shared" si="11"/>
        <v>0</v>
      </c>
      <c r="X194" s="228"/>
    </row>
    <row r="195" spans="1:24" x14ac:dyDescent="0.25">
      <c r="A195" s="203"/>
      <c r="B195" s="204" t="s">
        <v>7</v>
      </c>
      <c r="C195" s="204"/>
      <c r="D195" s="204"/>
      <c r="E195" s="204"/>
      <c r="F195" s="205">
        <f>SUM(F185:F187)</f>
        <v>0</v>
      </c>
      <c r="G195" s="204">
        <f>SUM(G185:G187)</f>
        <v>0</v>
      </c>
      <c r="H195" s="239"/>
      <c r="I195" s="239"/>
      <c r="J195" s="239"/>
      <c r="K195" s="239"/>
      <c r="L195" s="239"/>
      <c r="M195" s="239"/>
      <c r="N195" s="239"/>
      <c r="O195" s="239"/>
      <c r="P195" s="239"/>
      <c r="Q195" s="250"/>
      <c r="R195" s="256"/>
      <c r="S195" s="222">
        <f t="shared" si="7"/>
        <v>0</v>
      </c>
      <c r="T195" s="228">
        <f t="shared" si="8"/>
        <v>0</v>
      </c>
      <c r="U195" s="222">
        <f t="shared" si="9"/>
        <v>0</v>
      </c>
      <c r="V195" s="222">
        <f t="shared" si="10"/>
        <v>0</v>
      </c>
      <c r="W195" s="228">
        <f t="shared" si="11"/>
        <v>0</v>
      </c>
      <c r="X195" s="228"/>
    </row>
    <row r="196" spans="1:24" x14ac:dyDescent="0.25">
      <c r="A196" s="203"/>
      <c r="B196" s="204" t="s">
        <v>8</v>
      </c>
      <c r="C196" s="204"/>
      <c r="D196" s="204"/>
      <c r="E196" s="204"/>
      <c r="F196" s="205">
        <f>SUM(F188:F193)</f>
        <v>0</v>
      </c>
      <c r="G196" s="204">
        <f>SUM(G188:G193)</f>
        <v>0</v>
      </c>
      <c r="H196" s="239"/>
      <c r="I196" s="239"/>
      <c r="J196" s="239"/>
      <c r="K196" s="239"/>
      <c r="L196" s="239"/>
      <c r="M196" s="239"/>
      <c r="N196" s="239"/>
      <c r="O196" s="239"/>
      <c r="P196" s="239"/>
      <c r="Q196" s="250"/>
      <c r="R196" s="256"/>
      <c r="S196" s="222">
        <f t="shared" si="7"/>
        <v>0</v>
      </c>
      <c r="T196" s="228">
        <f t="shared" si="8"/>
        <v>0</v>
      </c>
      <c r="U196" s="222">
        <f t="shared" si="9"/>
        <v>0</v>
      </c>
      <c r="V196" s="222">
        <f t="shared" si="10"/>
        <v>0</v>
      </c>
      <c r="W196" s="228">
        <f t="shared" si="11"/>
        <v>0</v>
      </c>
      <c r="X196" s="228"/>
    </row>
    <row r="197" spans="1:24" ht="13.8" thickBot="1" x14ac:dyDescent="0.3">
      <c r="A197" s="103"/>
      <c r="B197" s="150" t="s">
        <v>115</v>
      </c>
      <c r="C197" s="294"/>
      <c r="D197" s="293"/>
      <c r="E197" s="292"/>
      <c r="F197" s="316">
        <f>SUM(F182+F183+F185+F186+F188+F189+F190+F191+F192)</f>
        <v>0</v>
      </c>
      <c r="G197" s="316">
        <f>SUM(G182+G183+G185+G186+G188+G190+G189+G191+G192)</f>
        <v>0</v>
      </c>
      <c r="H197" s="286"/>
      <c r="I197" s="286"/>
      <c r="J197" s="286"/>
      <c r="K197" s="286"/>
      <c r="L197" s="286"/>
      <c r="M197" s="286"/>
      <c r="N197" s="286"/>
      <c r="O197" s="286"/>
      <c r="P197" s="286"/>
      <c r="Q197" s="312"/>
      <c r="R197" s="311"/>
      <c r="S197" s="234">
        <f t="shared" si="7"/>
        <v>0</v>
      </c>
      <c r="T197" s="235">
        <f t="shared" si="8"/>
        <v>0</v>
      </c>
      <c r="U197" s="234">
        <f t="shared" si="9"/>
        <v>0</v>
      </c>
      <c r="V197" s="234">
        <f t="shared" si="10"/>
        <v>0</v>
      </c>
      <c r="W197" s="235">
        <f t="shared" si="11"/>
        <v>0</v>
      </c>
      <c r="X197" s="235"/>
    </row>
    <row r="198" spans="1:24" ht="13.8" thickTop="1" x14ac:dyDescent="0.25">
      <c r="A198" s="103"/>
      <c r="B198" s="150"/>
      <c r="C198" s="294"/>
      <c r="D198" s="293"/>
      <c r="E198" s="292"/>
      <c r="F198" s="315"/>
      <c r="G198" s="315"/>
      <c r="H198" s="286"/>
      <c r="I198" s="286"/>
      <c r="J198" s="286"/>
      <c r="K198" s="286"/>
      <c r="L198" s="286"/>
      <c r="M198" s="286"/>
      <c r="N198" s="286"/>
      <c r="O198" s="286"/>
      <c r="P198" s="286"/>
      <c r="Q198" s="312"/>
      <c r="R198" s="314"/>
      <c r="S198" s="222"/>
      <c r="T198" s="228"/>
      <c r="U198" s="222"/>
      <c r="V198" s="222"/>
      <c r="W198" s="228"/>
      <c r="X198" s="228"/>
    </row>
    <row r="199" spans="1:24" x14ac:dyDescent="0.25">
      <c r="A199" s="129">
        <v>5</v>
      </c>
      <c r="B199" s="130" t="s">
        <v>117</v>
      </c>
      <c r="C199" s="329"/>
      <c r="D199" s="328"/>
      <c r="E199" s="327"/>
      <c r="F199" s="327"/>
      <c r="G199" s="151"/>
      <c r="H199" s="238"/>
      <c r="I199" s="238"/>
      <c r="J199" s="238"/>
      <c r="K199" s="238"/>
      <c r="L199" s="238"/>
      <c r="M199" s="238"/>
      <c r="N199" s="238"/>
      <c r="O199" s="238"/>
      <c r="P199" s="238"/>
      <c r="Q199" s="251"/>
      <c r="R199" s="259"/>
      <c r="S199" s="227"/>
      <c r="T199" s="229"/>
      <c r="U199" s="227"/>
      <c r="V199" s="227"/>
      <c r="W199" s="229"/>
      <c r="X199" s="229"/>
    </row>
    <row r="200" spans="1:24" x14ac:dyDescent="0.25">
      <c r="A200" s="81" t="s">
        <v>157</v>
      </c>
      <c r="B200" s="167" t="s">
        <v>11</v>
      </c>
      <c r="C200" s="309"/>
      <c r="D200" s="308">
        <v>8</v>
      </c>
      <c r="E200" s="307">
        <v>72</v>
      </c>
      <c r="F200" s="276">
        <f>D200*E200</f>
        <v>576</v>
      </c>
      <c r="G200" s="35">
        <f>F200*C4</f>
        <v>576</v>
      </c>
      <c r="H200" s="239"/>
      <c r="I200" s="239"/>
      <c r="J200" s="239"/>
      <c r="K200" s="239"/>
      <c r="L200" s="239"/>
      <c r="M200" s="239"/>
      <c r="N200" s="239"/>
      <c r="O200" s="239"/>
      <c r="P200" s="239"/>
      <c r="Q200" s="250"/>
      <c r="R200" s="261"/>
      <c r="S200" s="222">
        <f t="shared" si="7"/>
        <v>-576</v>
      </c>
      <c r="T200" s="228">
        <f t="shared" si="8"/>
        <v>-1</v>
      </c>
      <c r="U200" s="222">
        <f t="shared" si="9"/>
        <v>0</v>
      </c>
      <c r="V200" s="222">
        <f t="shared" si="10"/>
        <v>-576</v>
      </c>
      <c r="W200" s="228">
        <f t="shared" si="11"/>
        <v>-1</v>
      </c>
      <c r="X200" s="228"/>
    </row>
    <row r="201" spans="1:24" x14ac:dyDescent="0.25">
      <c r="A201" s="81" t="s">
        <v>158</v>
      </c>
      <c r="B201" s="167" t="s">
        <v>12</v>
      </c>
      <c r="C201" s="309"/>
      <c r="D201" s="308"/>
      <c r="E201" s="307"/>
      <c r="F201" s="276">
        <f>D201*E201</f>
        <v>0</v>
      </c>
      <c r="G201" s="35">
        <f>F201*C4</f>
        <v>0</v>
      </c>
      <c r="H201" s="239"/>
      <c r="I201" s="239"/>
      <c r="J201" s="239"/>
      <c r="K201" s="239"/>
      <c r="L201" s="239"/>
      <c r="M201" s="239"/>
      <c r="N201" s="239"/>
      <c r="O201" s="239"/>
      <c r="P201" s="239"/>
      <c r="Q201" s="250"/>
      <c r="R201" s="261"/>
      <c r="S201" s="222">
        <f t="shared" si="7"/>
        <v>0</v>
      </c>
      <c r="T201" s="228">
        <f t="shared" si="8"/>
        <v>0</v>
      </c>
      <c r="U201" s="222">
        <f t="shared" si="9"/>
        <v>0</v>
      </c>
      <c r="V201" s="222">
        <f t="shared" si="10"/>
        <v>0</v>
      </c>
      <c r="W201" s="228">
        <f t="shared" si="11"/>
        <v>0</v>
      </c>
      <c r="X201" s="228"/>
    </row>
    <row r="202" spans="1:24" x14ac:dyDescent="0.25">
      <c r="A202" s="81" t="s">
        <v>159</v>
      </c>
      <c r="B202" s="167" t="s">
        <v>13</v>
      </c>
      <c r="C202" s="309"/>
      <c r="D202" s="308"/>
      <c r="E202" s="307"/>
      <c r="F202" s="276">
        <f>D202*E202</f>
        <v>0</v>
      </c>
      <c r="G202" s="35">
        <f>F202*C4</f>
        <v>0</v>
      </c>
      <c r="H202" s="239"/>
      <c r="I202" s="239"/>
      <c r="J202" s="239"/>
      <c r="K202" s="239"/>
      <c r="L202" s="239"/>
      <c r="M202" s="239"/>
      <c r="N202" s="239"/>
      <c r="O202" s="239"/>
      <c r="P202" s="239"/>
      <c r="Q202" s="250"/>
      <c r="R202" s="261"/>
      <c r="S202" s="222">
        <f t="shared" si="7"/>
        <v>0</v>
      </c>
      <c r="T202" s="228">
        <f t="shared" si="8"/>
        <v>0</v>
      </c>
      <c r="U202" s="222">
        <f t="shared" si="9"/>
        <v>0</v>
      </c>
      <c r="V202" s="222">
        <f t="shared" si="10"/>
        <v>0</v>
      </c>
      <c r="W202" s="228">
        <f t="shared" si="11"/>
        <v>0</v>
      </c>
      <c r="X202" s="228"/>
    </row>
    <row r="203" spans="1:24" x14ac:dyDescent="0.25">
      <c r="A203" s="81" t="s">
        <v>160</v>
      </c>
      <c r="B203" s="167" t="s">
        <v>14</v>
      </c>
      <c r="C203" s="309"/>
      <c r="D203" s="308">
        <v>8</v>
      </c>
      <c r="E203" s="307">
        <v>544</v>
      </c>
      <c r="F203" s="276">
        <f>D203*E203</f>
        <v>4352</v>
      </c>
      <c r="G203" s="35">
        <f>F203*C4</f>
        <v>4352</v>
      </c>
      <c r="H203" s="239"/>
      <c r="I203" s="239"/>
      <c r="J203" s="239"/>
      <c r="K203" s="239"/>
      <c r="L203" s="239"/>
      <c r="M203" s="239"/>
      <c r="N203" s="239"/>
      <c r="O203" s="239"/>
      <c r="P203" s="239"/>
      <c r="Q203" s="250"/>
      <c r="R203" s="261"/>
      <c r="S203" s="222">
        <f t="shared" si="7"/>
        <v>-4352</v>
      </c>
      <c r="T203" s="228">
        <f t="shared" si="8"/>
        <v>-1</v>
      </c>
      <c r="U203" s="222">
        <f t="shared" si="9"/>
        <v>0</v>
      </c>
      <c r="V203" s="222">
        <f t="shared" si="10"/>
        <v>-4352</v>
      </c>
      <c r="W203" s="228">
        <f t="shared" si="11"/>
        <v>-1</v>
      </c>
      <c r="X203" s="228"/>
    </row>
    <row r="204" spans="1:24" ht="39.6" x14ac:dyDescent="0.25">
      <c r="A204" s="81" t="s">
        <v>161</v>
      </c>
      <c r="B204" s="167" t="s">
        <v>60</v>
      </c>
      <c r="C204" s="309"/>
      <c r="D204" s="308"/>
      <c r="E204" s="307"/>
      <c r="F204" s="276">
        <f>D204*E204</f>
        <v>0</v>
      </c>
      <c r="G204" s="35">
        <f>F204*C4</f>
        <v>0</v>
      </c>
      <c r="H204" s="239"/>
      <c r="I204" s="239"/>
      <c r="J204" s="239"/>
      <c r="K204" s="239"/>
      <c r="L204" s="239"/>
      <c r="M204" s="239"/>
      <c r="N204" s="239"/>
      <c r="O204" s="239"/>
      <c r="P204" s="239"/>
      <c r="Q204" s="250"/>
      <c r="R204" s="261"/>
      <c r="S204" s="222">
        <f t="shared" si="7"/>
        <v>0</v>
      </c>
      <c r="T204" s="228">
        <f t="shared" si="8"/>
        <v>0</v>
      </c>
      <c r="U204" s="222">
        <f t="shared" si="9"/>
        <v>0</v>
      </c>
      <c r="V204" s="222">
        <f t="shared" si="10"/>
        <v>0</v>
      </c>
      <c r="W204" s="228">
        <f t="shared" si="11"/>
        <v>0</v>
      </c>
      <c r="X204" s="228"/>
    </row>
    <row r="205" spans="1:24" x14ac:dyDescent="0.25">
      <c r="B205" s="167"/>
      <c r="C205" s="306"/>
      <c r="D205" s="305"/>
      <c r="E205" s="304"/>
      <c r="F205" s="276"/>
      <c r="H205" s="239"/>
      <c r="I205" s="239"/>
      <c r="J205" s="239"/>
      <c r="K205" s="239"/>
      <c r="L205" s="239"/>
      <c r="M205" s="239"/>
      <c r="N205" s="239"/>
      <c r="O205" s="239"/>
      <c r="P205" s="239"/>
      <c r="Q205" s="250"/>
      <c r="R205" s="256"/>
      <c r="S205" s="222"/>
      <c r="T205" s="228"/>
      <c r="U205" s="222"/>
      <c r="V205" s="222"/>
      <c r="W205" s="228"/>
      <c r="X205" s="228"/>
    </row>
    <row r="206" spans="1:24" ht="13.8" thickBot="1" x14ac:dyDescent="0.3">
      <c r="A206" s="103"/>
      <c r="B206" s="150" t="s">
        <v>118</v>
      </c>
      <c r="C206" s="294"/>
      <c r="D206" s="293"/>
      <c r="E206" s="292"/>
      <c r="F206" s="316">
        <f>SUM(F200:F204)</f>
        <v>4928</v>
      </c>
      <c r="G206" s="316">
        <f>SUM(G200:G204)</f>
        <v>4928</v>
      </c>
      <c r="H206" s="286"/>
      <c r="I206" s="286"/>
      <c r="J206" s="286"/>
      <c r="K206" s="286"/>
      <c r="L206" s="286"/>
      <c r="M206" s="286"/>
      <c r="N206" s="286"/>
      <c r="O206" s="286"/>
      <c r="P206" s="286"/>
      <c r="Q206" s="312"/>
      <c r="R206" s="311"/>
      <c r="S206" s="234">
        <f t="shared" si="7"/>
        <v>-4928</v>
      </c>
      <c r="T206" s="235">
        <f t="shared" si="8"/>
        <v>-1</v>
      </c>
      <c r="U206" s="234">
        <f t="shared" si="9"/>
        <v>0</v>
      </c>
      <c r="V206" s="234">
        <f t="shared" si="10"/>
        <v>-4928</v>
      </c>
      <c r="W206" s="235">
        <f t="shared" si="11"/>
        <v>-1</v>
      </c>
      <c r="X206" s="235"/>
    </row>
    <row r="207" spans="1:24" ht="13.8" thickTop="1" x14ac:dyDescent="0.25">
      <c r="B207" s="167"/>
      <c r="F207" s="276"/>
      <c r="H207" s="239"/>
      <c r="I207" s="239"/>
      <c r="J207" s="239"/>
      <c r="K207" s="239"/>
      <c r="L207" s="239"/>
      <c r="M207" s="239"/>
      <c r="N207" s="239"/>
      <c r="O207" s="239"/>
      <c r="P207" s="239"/>
      <c r="Q207" s="250"/>
      <c r="R207" s="256"/>
      <c r="S207" s="222"/>
      <c r="T207" s="228"/>
      <c r="U207" s="222"/>
      <c r="V207" s="222"/>
      <c r="W207" s="228"/>
      <c r="X207" s="228"/>
    </row>
    <row r="208" spans="1:24" x14ac:dyDescent="0.25">
      <c r="A208" s="129">
        <v>6</v>
      </c>
      <c r="B208" s="130" t="s">
        <v>119</v>
      </c>
      <c r="C208" s="329"/>
      <c r="D208" s="328"/>
      <c r="E208" s="327"/>
      <c r="F208" s="327"/>
      <c r="G208" s="151"/>
      <c r="H208" s="238"/>
      <c r="I208" s="238"/>
      <c r="J208" s="238"/>
      <c r="K208" s="238"/>
      <c r="L208" s="238"/>
      <c r="M208" s="238"/>
      <c r="N208" s="238"/>
      <c r="O208" s="238"/>
      <c r="P208" s="238"/>
      <c r="Q208" s="251"/>
      <c r="R208" s="259"/>
      <c r="S208" s="227"/>
      <c r="T208" s="229"/>
      <c r="U208" s="227"/>
      <c r="V208" s="227"/>
      <c r="W208" s="229"/>
      <c r="X208" s="229"/>
    </row>
    <row r="209" spans="1:25" x14ac:dyDescent="0.25">
      <c r="A209" s="103" t="s">
        <v>120</v>
      </c>
      <c r="B209" s="103" t="s">
        <v>77</v>
      </c>
      <c r="C209" s="326"/>
      <c r="D209" s="325"/>
      <c r="E209" s="324"/>
      <c r="F209" s="320"/>
      <c r="G209" s="39"/>
      <c r="H209" s="239"/>
      <c r="I209" s="239"/>
      <c r="J209" s="239"/>
      <c r="K209" s="239"/>
      <c r="L209" s="239"/>
      <c r="M209" s="239"/>
      <c r="N209" s="239"/>
      <c r="O209" s="239"/>
      <c r="P209" s="239"/>
      <c r="Q209" s="250"/>
      <c r="R209" s="255"/>
      <c r="S209" s="222"/>
      <c r="T209" s="228"/>
      <c r="U209" s="222"/>
      <c r="V209" s="222"/>
      <c r="W209" s="228"/>
      <c r="X209" s="228"/>
    </row>
    <row r="210" spans="1:25" x14ac:dyDescent="0.25">
      <c r="A210" s="113" t="s">
        <v>121</v>
      </c>
      <c r="B210" s="174" t="s">
        <v>78</v>
      </c>
      <c r="C210" s="309"/>
      <c r="D210" s="308"/>
      <c r="E210" s="307"/>
      <c r="F210" s="320">
        <f>D210*E210</f>
        <v>0</v>
      </c>
      <c r="G210" s="39">
        <f>F210*C4</f>
        <v>0</v>
      </c>
      <c r="H210" s="239"/>
      <c r="I210" s="239"/>
      <c r="J210" s="239"/>
      <c r="K210" s="239"/>
      <c r="L210" s="239"/>
      <c r="M210" s="239"/>
      <c r="N210" s="239"/>
      <c r="O210" s="239"/>
      <c r="P210" s="239"/>
      <c r="Q210" s="250"/>
      <c r="R210" s="261"/>
      <c r="S210" s="222">
        <f t="shared" si="7"/>
        <v>0</v>
      </c>
      <c r="T210" s="228">
        <f t="shared" si="8"/>
        <v>0</v>
      </c>
      <c r="U210" s="222">
        <f t="shared" si="9"/>
        <v>0</v>
      </c>
      <c r="V210" s="222">
        <f t="shared" si="10"/>
        <v>0</v>
      </c>
      <c r="W210" s="228">
        <f t="shared" si="11"/>
        <v>0</v>
      </c>
      <c r="X210" s="228"/>
    </row>
    <row r="211" spans="1:25" x14ac:dyDescent="0.25">
      <c r="A211" s="113" t="s">
        <v>122</v>
      </c>
      <c r="B211" s="174" t="s">
        <v>79</v>
      </c>
      <c r="C211" s="309"/>
      <c r="D211" s="308"/>
      <c r="E211" s="307"/>
      <c r="F211" s="320">
        <f>D211*E211</f>
        <v>0</v>
      </c>
      <c r="G211" s="39">
        <f>F211*C4</f>
        <v>0</v>
      </c>
      <c r="H211" s="239"/>
      <c r="I211" s="239"/>
      <c r="J211" s="239"/>
      <c r="K211" s="239"/>
      <c r="L211" s="239"/>
      <c r="M211" s="239"/>
      <c r="N211" s="239"/>
      <c r="O211" s="239"/>
      <c r="P211" s="239"/>
      <c r="Q211" s="250"/>
      <c r="R211" s="261"/>
      <c r="S211" s="222">
        <f t="shared" si="7"/>
        <v>0</v>
      </c>
      <c r="T211" s="228">
        <f t="shared" si="8"/>
        <v>0</v>
      </c>
      <c r="U211" s="222">
        <f t="shared" si="9"/>
        <v>0</v>
      </c>
      <c r="V211" s="222">
        <f t="shared" si="10"/>
        <v>0</v>
      </c>
      <c r="W211" s="228">
        <f t="shared" si="11"/>
        <v>0</v>
      </c>
      <c r="X211" s="228"/>
    </row>
    <row r="212" spans="1:25" x14ac:dyDescent="0.25">
      <c r="A212" s="113" t="s">
        <v>123</v>
      </c>
      <c r="B212" s="174" t="s">
        <v>80</v>
      </c>
      <c r="C212" s="309"/>
      <c r="D212" s="308"/>
      <c r="E212" s="307"/>
      <c r="F212" s="320">
        <f>D212*E212</f>
        <v>0</v>
      </c>
      <c r="G212" s="39">
        <f>F212*C4</f>
        <v>0</v>
      </c>
      <c r="H212" s="239"/>
      <c r="I212" s="239"/>
      <c r="J212" s="239"/>
      <c r="K212" s="239"/>
      <c r="L212" s="239"/>
      <c r="M212" s="239"/>
      <c r="N212" s="239"/>
      <c r="O212" s="239"/>
      <c r="P212" s="239"/>
      <c r="Q212" s="250"/>
      <c r="R212" s="261"/>
      <c r="S212" s="222">
        <f t="shared" si="7"/>
        <v>0</v>
      </c>
      <c r="T212" s="228">
        <f t="shared" si="8"/>
        <v>0</v>
      </c>
      <c r="U212" s="222">
        <f t="shared" si="9"/>
        <v>0</v>
      </c>
      <c r="V212" s="222">
        <f t="shared" si="10"/>
        <v>0</v>
      </c>
      <c r="W212" s="228">
        <f t="shared" si="11"/>
        <v>0</v>
      </c>
      <c r="X212" s="228"/>
    </row>
    <row r="213" spans="1:25" x14ac:dyDescent="0.25">
      <c r="A213" s="113" t="s">
        <v>124</v>
      </c>
      <c r="B213" s="174" t="s">
        <v>81</v>
      </c>
      <c r="C213" s="309"/>
      <c r="D213" s="308"/>
      <c r="E213" s="307"/>
      <c r="F213" s="320">
        <f>D213*E213</f>
        <v>0</v>
      </c>
      <c r="G213" s="39">
        <f>F213*C4</f>
        <v>0</v>
      </c>
      <c r="H213" s="239"/>
      <c r="I213" s="239"/>
      <c r="J213" s="239"/>
      <c r="K213" s="239"/>
      <c r="L213" s="239"/>
      <c r="M213" s="239"/>
      <c r="N213" s="239"/>
      <c r="O213" s="239"/>
      <c r="P213" s="239"/>
      <c r="Q213" s="250"/>
      <c r="R213" s="261"/>
      <c r="S213" s="222">
        <f t="shared" ref="S213:S248" si="13">R213-F213</f>
        <v>0</v>
      </c>
      <c r="T213" s="228">
        <f t="shared" ref="T213:T248" si="14">IF(F213=0,0,S213/F213)</f>
        <v>0</v>
      </c>
      <c r="U213" s="222">
        <f t="shared" ref="U213:U248" si="15">R213*$C$4</f>
        <v>0</v>
      </c>
      <c r="V213" s="222">
        <f t="shared" ref="V213:V248" si="16">U213-G213</f>
        <v>0</v>
      </c>
      <c r="W213" s="228">
        <f t="shared" ref="W213:W248" si="17">IF(G213=0,0,V213/G213)</f>
        <v>0</v>
      </c>
      <c r="X213" s="228"/>
    </row>
    <row r="214" spans="1:25" x14ac:dyDescent="0.25">
      <c r="A214" s="103"/>
      <c r="B214" s="174"/>
      <c r="C214" s="323"/>
      <c r="D214" s="322"/>
      <c r="E214" s="321"/>
      <c r="F214" s="320"/>
      <c r="G214" s="39"/>
      <c r="H214" s="239"/>
      <c r="I214" s="239"/>
      <c r="J214" s="239"/>
      <c r="K214" s="239"/>
      <c r="L214" s="239"/>
      <c r="M214" s="239"/>
      <c r="N214" s="239"/>
      <c r="O214" s="239"/>
      <c r="P214" s="239"/>
      <c r="Q214" s="250"/>
      <c r="R214" s="255"/>
      <c r="S214" s="222"/>
      <c r="T214" s="228"/>
      <c r="U214" s="222"/>
      <c r="V214" s="222"/>
      <c r="W214" s="228"/>
      <c r="X214" s="228"/>
    </row>
    <row r="215" spans="1:25" ht="13.8" thickBot="1" x14ac:dyDescent="0.3">
      <c r="A215" s="103"/>
      <c r="B215" s="150" t="s">
        <v>82</v>
      </c>
      <c r="C215" s="319"/>
      <c r="D215" s="318"/>
      <c r="E215" s="317"/>
      <c r="F215" s="316">
        <f>SUM(F210:F213)</f>
        <v>0</v>
      </c>
      <c r="G215" s="316">
        <f>SUM(G210:G213)</f>
        <v>0</v>
      </c>
      <c r="H215" s="286"/>
      <c r="I215" s="286"/>
      <c r="J215" s="286"/>
      <c r="K215" s="286"/>
      <c r="L215" s="286"/>
      <c r="M215" s="286"/>
      <c r="N215" s="286"/>
      <c r="O215" s="286"/>
      <c r="P215" s="286"/>
      <c r="Q215" s="312"/>
      <c r="R215" s="311"/>
      <c r="S215" s="234">
        <f t="shared" si="13"/>
        <v>0</v>
      </c>
      <c r="T215" s="235">
        <f t="shared" si="14"/>
        <v>0</v>
      </c>
      <c r="U215" s="234">
        <f t="shared" si="15"/>
        <v>0</v>
      </c>
      <c r="V215" s="234">
        <f t="shared" si="16"/>
        <v>0</v>
      </c>
      <c r="W215" s="235">
        <f t="shared" si="17"/>
        <v>0</v>
      </c>
      <c r="X215" s="235"/>
    </row>
    <row r="216" spans="1:25" ht="13.8" thickTop="1" x14ac:dyDescent="0.25">
      <c r="B216" s="178"/>
      <c r="F216" s="285"/>
      <c r="H216" s="239"/>
      <c r="I216" s="239"/>
      <c r="J216" s="239"/>
      <c r="K216" s="239"/>
      <c r="L216" s="239"/>
      <c r="M216" s="239"/>
      <c r="N216" s="239"/>
      <c r="O216" s="239"/>
      <c r="P216" s="239"/>
      <c r="Q216" s="250"/>
      <c r="R216" s="256"/>
      <c r="S216" s="222"/>
      <c r="T216" s="228"/>
      <c r="U216" s="222"/>
      <c r="V216" s="222"/>
      <c r="W216" s="228"/>
      <c r="X216" s="228"/>
    </row>
    <row r="217" spans="1:25" x14ac:dyDescent="0.25">
      <c r="A217" s="103" t="s">
        <v>125</v>
      </c>
      <c r="B217" s="103" t="s">
        <v>198</v>
      </c>
      <c r="C217" s="326"/>
      <c r="D217" s="325"/>
      <c r="E217" s="324"/>
      <c r="F217" s="320"/>
      <c r="G217" s="39"/>
      <c r="H217" s="239"/>
      <c r="I217" s="239"/>
      <c r="J217" s="239"/>
      <c r="K217" s="239"/>
      <c r="L217" s="239"/>
      <c r="M217" s="239"/>
      <c r="N217" s="239"/>
      <c r="O217" s="239"/>
      <c r="P217" s="239"/>
      <c r="Q217" s="250"/>
      <c r="R217" s="255"/>
      <c r="S217" s="222"/>
      <c r="T217" s="228"/>
      <c r="U217" s="222"/>
      <c r="V217" s="222"/>
      <c r="W217" s="228"/>
      <c r="X217" s="228"/>
    </row>
    <row r="218" spans="1:25" x14ac:dyDescent="0.25">
      <c r="A218" s="113" t="s">
        <v>126</v>
      </c>
      <c r="B218" s="174" t="s">
        <v>135</v>
      </c>
      <c r="C218" s="309"/>
      <c r="D218" s="308"/>
      <c r="E218" s="307"/>
      <c r="F218" s="320">
        <f>D218*E218</f>
        <v>0</v>
      </c>
      <c r="G218" s="39">
        <f>F218*C4</f>
        <v>0</v>
      </c>
      <c r="H218" s="239"/>
      <c r="I218" s="239"/>
      <c r="J218" s="239"/>
      <c r="K218" s="239"/>
      <c r="L218" s="239"/>
      <c r="M218" s="239"/>
      <c r="N218" s="239"/>
      <c r="O218" s="239"/>
      <c r="P218" s="239"/>
      <c r="Q218" s="250"/>
      <c r="R218" s="261"/>
      <c r="S218" s="222">
        <f t="shared" si="13"/>
        <v>0</v>
      </c>
      <c r="T218" s="228">
        <f t="shared" si="14"/>
        <v>0</v>
      </c>
      <c r="U218" s="222">
        <f t="shared" si="15"/>
        <v>0</v>
      </c>
      <c r="V218" s="222">
        <f t="shared" si="16"/>
        <v>0</v>
      </c>
      <c r="W218" s="228">
        <f t="shared" si="17"/>
        <v>0</v>
      </c>
      <c r="X218" s="228"/>
    </row>
    <row r="219" spans="1:25" x14ac:dyDescent="0.25">
      <c r="A219" s="113" t="s">
        <v>127</v>
      </c>
      <c r="B219" s="174" t="s">
        <v>136</v>
      </c>
      <c r="C219" s="817" t="s">
        <v>780</v>
      </c>
      <c r="D219" s="308">
        <v>1</v>
      </c>
      <c r="E219" s="307">
        <v>1000</v>
      </c>
      <c r="F219" s="320">
        <f>D219*E219</f>
        <v>1000</v>
      </c>
      <c r="G219" s="39">
        <f>F219*C4</f>
        <v>1000</v>
      </c>
      <c r="H219" s="239"/>
      <c r="I219" s="239"/>
      <c r="J219" s="239"/>
      <c r="K219" s="239"/>
      <c r="L219" s="239"/>
      <c r="M219" s="239"/>
      <c r="N219" s="239"/>
      <c r="O219" s="239"/>
      <c r="P219" s="239"/>
      <c r="Q219" s="250"/>
      <c r="R219" s="261"/>
      <c r="S219" s="222">
        <f t="shared" si="13"/>
        <v>-1000</v>
      </c>
      <c r="T219" s="228">
        <f t="shared" si="14"/>
        <v>-1</v>
      </c>
      <c r="U219" s="222">
        <f t="shared" si="15"/>
        <v>0</v>
      </c>
      <c r="V219" s="222">
        <f t="shared" si="16"/>
        <v>-1000</v>
      </c>
      <c r="W219" s="228">
        <f t="shared" si="17"/>
        <v>-1</v>
      </c>
      <c r="X219" s="228"/>
      <c r="Y219" s="823" t="s">
        <v>922</v>
      </c>
    </row>
    <row r="220" spans="1:25" x14ac:dyDescent="0.25">
      <c r="A220" s="113" t="s">
        <v>128</v>
      </c>
      <c r="B220" s="174" t="s">
        <v>134</v>
      </c>
      <c r="C220" s="309"/>
      <c r="D220" s="308">
        <v>84</v>
      </c>
      <c r="E220" s="307">
        <v>17</v>
      </c>
      <c r="F220" s="320">
        <f>D220*E220</f>
        <v>1428</v>
      </c>
      <c r="G220" s="39">
        <f>F220*C4</f>
        <v>1428</v>
      </c>
      <c r="H220" s="239"/>
      <c r="I220" s="239"/>
      <c r="J220" s="239"/>
      <c r="K220" s="239"/>
      <c r="L220" s="239"/>
      <c r="M220" s="239"/>
      <c r="N220" s="239"/>
      <c r="O220" s="239"/>
      <c r="P220" s="239"/>
      <c r="Q220" s="250"/>
      <c r="R220" s="261"/>
      <c r="S220" s="222">
        <f t="shared" si="13"/>
        <v>-1428</v>
      </c>
      <c r="T220" s="228">
        <f t="shared" si="14"/>
        <v>-1</v>
      </c>
      <c r="U220" s="222">
        <f t="shared" si="15"/>
        <v>0</v>
      </c>
      <c r="V220" s="222">
        <f t="shared" si="16"/>
        <v>-1428</v>
      </c>
      <c r="W220" s="228">
        <f t="shared" si="17"/>
        <v>-1</v>
      </c>
      <c r="X220" s="228"/>
    </row>
    <row r="221" spans="1:25" x14ac:dyDescent="0.25">
      <c r="A221" s="113" t="s">
        <v>129</v>
      </c>
      <c r="B221" s="174" t="s">
        <v>137</v>
      </c>
      <c r="C221" s="309"/>
      <c r="D221" s="308"/>
      <c r="E221" s="307"/>
      <c r="F221" s="320">
        <f>D221*E221</f>
        <v>0</v>
      </c>
      <c r="G221" s="39">
        <f>F221*C4</f>
        <v>0</v>
      </c>
      <c r="H221" s="239"/>
      <c r="I221" s="239"/>
      <c r="J221" s="239"/>
      <c r="K221" s="239"/>
      <c r="L221" s="239"/>
      <c r="M221" s="239"/>
      <c r="N221" s="239"/>
      <c r="O221" s="239"/>
      <c r="P221" s="239"/>
      <c r="Q221" s="250"/>
      <c r="R221" s="261"/>
      <c r="S221" s="222">
        <f t="shared" si="13"/>
        <v>0</v>
      </c>
      <c r="T221" s="228">
        <f t="shared" si="14"/>
        <v>0</v>
      </c>
      <c r="U221" s="222">
        <f t="shared" si="15"/>
        <v>0</v>
      </c>
      <c r="V221" s="222">
        <f t="shared" si="16"/>
        <v>0</v>
      </c>
      <c r="W221" s="228">
        <f t="shared" si="17"/>
        <v>0</v>
      </c>
      <c r="X221" s="228"/>
    </row>
    <row r="222" spans="1:25" x14ac:dyDescent="0.25">
      <c r="A222" s="103" t="s">
        <v>319</v>
      </c>
      <c r="B222" s="824" t="s">
        <v>923</v>
      </c>
      <c r="C222" s="817" t="s">
        <v>780</v>
      </c>
      <c r="D222" s="308">
        <v>1</v>
      </c>
      <c r="E222" s="307">
        <v>1000</v>
      </c>
      <c r="F222" s="320">
        <f>D222*E222</f>
        <v>1000</v>
      </c>
      <c r="G222" s="39">
        <f>F222*C4</f>
        <v>1000</v>
      </c>
      <c r="H222" s="239"/>
      <c r="I222" s="239"/>
      <c r="J222" s="239"/>
      <c r="K222" s="239"/>
      <c r="L222" s="239"/>
      <c r="M222" s="239"/>
      <c r="N222" s="239"/>
      <c r="O222" s="239"/>
      <c r="P222" s="239"/>
      <c r="Q222" s="250"/>
      <c r="R222" s="255"/>
      <c r="S222" s="222"/>
      <c r="T222" s="228"/>
      <c r="U222" s="222"/>
      <c r="V222" s="222"/>
      <c r="W222" s="228"/>
      <c r="X222" s="228"/>
      <c r="Y222" s="823" t="s">
        <v>924</v>
      </c>
    </row>
    <row r="223" spans="1:25" ht="13.8" thickBot="1" x14ac:dyDescent="0.3">
      <c r="A223" s="103"/>
      <c r="B223" s="150" t="s">
        <v>199</v>
      </c>
      <c r="C223" s="319"/>
      <c r="D223" s="318"/>
      <c r="E223" s="317"/>
      <c r="F223" s="316">
        <f>SUM(F218:F221)</f>
        <v>2428</v>
      </c>
      <c r="G223" s="316">
        <f>SUM(G218:G222)</f>
        <v>3428</v>
      </c>
      <c r="H223" s="286"/>
      <c r="I223" s="286"/>
      <c r="J223" s="286"/>
      <c r="K223" s="286"/>
      <c r="L223" s="286"/>
      <c r="M223" s="286"/>
      <c r="N223" s="286"/>
      <c r="O223" s="286"/>
      <c r="P223" s="286"/>
      <c r="Q223" s="312"/>
      <c r="R223" s="311"/>
      <c r="S223" s="234">
        <f t="shared" si="13"/>
        <v>-2428</v>
      </c>
      <c r="T223" s="235">
        <f t="shared" si="14"/>
        <v>-1</v>
      </c>
      <c r="U223" s="234">
        <f t="shared" si="15"/>
        <v>0</v>
      </c>
      <c r="V223" s="234">
        <f t="shared" si="16"/>
        <v>-3428</v>
      </c>
      <c r="W223" s="235">
        <f t="shared" si="17"/>
        <v>-1</v>
      </c>
      <c r="X223" s="235"/>
    </row>
    <row r="224" spans="1:25" ht="13.8" thickTop="1" x14ac:dyDescent="0.25">
      <c r="B224" s="178"/>
      <c r="F224" s="285"/>
      <c r="H224" s="239"/>
      <c r="I224" s="239"/>
      <c r="J224" s="239"/>
      <c r="K224" s="239"/>
      <c r="L224" s="239"/>
      <c r="M224" s="239"/>
      <c r="N224" s="239"/>
      <c r="O224" s="239"/>
      <c r="P224" s="239"/>
      <c r="Q224" s="250"/>
      <c r="R224" s="256"/>
      <c r="S224" s="222"/>
      <c r="T224" s="228"/>
      <c r="U224" s="222"/>
      <c r="V224" s="222"/>
      <c r="W224" s="228"/>
      <c r="X224" s="228"/>
    </row>
    <row r="225" spans="1:24" x14ac:dyDescent="0.25">
      <c r="A225" s="103" t="s">
        <v>163</v>
      </c>
      <c r="B225" s="103" t="s">
        <v>162</v>
      </c>
      <c r="C225" s="326"/>
      <c r="D225" s="325"/>
      <c r="E225" s="324"/>
      <c r="F225" s="320"/>
      <c r="G225" s="39"/>
      <c r="H225" s="239"/>
      <c r="I225" s="239"/>
      <c r="J225" s="239"/>
      <c r="K225" s="239"/>
      <c r="L225" s="239"/>
      <c r="M225" s="239"/>
      <c r="N225" s="239"/>
      <c r="O225" s="239"/>
      <c r="P225" s="239"/>
      <c r="Q225" s="250"/>
      <c r="R225" s="255"/>
      <c r="S225" s="222"/>
      <c r="T225" s="228"/>
      <c r="U225" s="222"/>
      <c r="V225" s="222"/>
      <c r="W225" s="228"/>
      <c r="X225" s="228"/>
    </row>
    <row r="226" spans="1:24" x14ac:dyDescent="0.25">
      <c r="A226" s="113" t="s">
        <v>168</v>
      </c>
      <c r="B226" s="174" t="s">
        <v>307</v>
      </c>
      <c r="C226" s="309"/>
      <c r="D226" s="308"/>
      <c r="E226" s="307"/>
      <c r="F226" s="320">
        <f>D226*E226</f>
        <v>0</v>
      </c>
      <c r="G226" s="39">
        <f>F226*C4</f>
        <v>0</v>
      </c>
      <c r="H226" s="239"/>
      <c r="I226" s="239"/>
      <c r="J226" s="239"/>
      <c r="K226" s="239"/>
      <c r="L226" s="239"/>
      <c r="M226" s="239"/>
      <c r="N226" s="239"/>
      <c r="O226" s="239"/>
      <c r="P226" s="239"/>
      <c r="Q226" s="250"/>
      <c r="R226" s="261"/>
      <c r="S226" s="222">
        <f t="shared" si="13"/>
        <v>0</v>
      </c>
      <c r="T226" s="228">
        <f t="shared" si="14"/>
        <v>0</v>
      </c>
      <c r="U226" s="222">
        <f t="shared" si="15"/>
        <v>0</v>
      </c>
      <c r="V226" s="222">
        <f t="shared" si="16"/>
        <v>0</v>
      </c>
      <c r="W226" s="228">
        <f t="shared" si="17"/>
        <v>0</v>
      </c>
      <c r="X226" s="228"/>
    </row>
    <row r="227" spans="1:24" x14ac:dyDescent="0.25">
      <c r="A227" s="113" t="s">
        <v>169</v>
      </c>
      <c r="B227" s="174" t="s">
        <v>165</v>
      </c>
      <c r="C227" s="309"/>
      <c r="D227" s="308"/>
      <c r="E227" s="307"/>
      <c r="F227" s="320">
        <f>D227*E227</f>
        <v>0</v>
      </c>
      <c r="G227" s="39">
        <f>F227*C4</f>
        <v>0</v>
      </c>
      <c r="H227" s="239"/>
      <c r="I227" s="239"/>
      <c r="J227" s="239"/>
      <c r="K227" s="239"/>
      <c r="L227" s="239"/>
      <c r="M227" s="239"/>
      <c r="N227" s="239"/>
      <c r="O227" s="239"/>
      <c r="P227" s="239"/>
      <c r="Q227" s="250"/>
      <c r="R227" s="261"/>
      <c r="S227" s="222">
        <f t="shared" si="13"/>
        <v>0</v>
      </c>
      <c r="T227" s="228">
        <f t="shared" si="14"/>
        <v>0</v>
      </c>
      <c r="U227" s="222">
        <f t="shared" si="15"/>
        <v>0</v>
      </c>
      <c r="V227" s="222">
        <f t="shared" si="16"/>
        <v>0</v>
      </c>
      <c r="W227" s="228">
        <f t="shared" si="17"/>
        <v>0</v>
      </c>
      <c r="X227" s="228"/>
    </row>
    <row r="228" spans="1:24" x14ac:dyDescent="0.25">
      <c r="A228" s="113" t="s">
        <v>170</v>
      </c>
      <c r="B228" s="174" t="s">
        <v>166</v>
      </c>
      <c r="C228" s="309"/>
      <c r="D228" s="308"/>
      <c r="E228" s="307"/>
      <c r="F228" s="320">
        <f>D228*E228</f>
        <v>0</v>
      </c>
      <c r="G228" s="39">
        <f>F228*C4</f>
        <v>0</v>
      </c>
      <c r="H228" s="239"/>
      <c r="I228" s="239"/>
      <c r="J228" s="239"/>
      <c r="K228" s="239"/>
      <c r="L228" s="239"/>
      <c r="M228" s="239"/>
      <c r="N228" s="239"/>
      <c r="O228" s="239"/>
      <c r="P228" s="239"/>
      <c r="Q228" s="250"/>
      <c r="R228" s="261"/>
      <c r="S228" s="222">
        <f t="shared" si="13"/>
        <v>0</v>
      </c>
      <c r="T228" s="228">
        <f t="shared" si="14"/>
        <v>0</v>
      </c>
      <c r="U228" s="222">
        <f t="shared" si="15"/>
        <v>0</v>
      </c>
      <c r="V228" s="222">
        <f t="shared" si="16"/>
        <v>0</v>
      </c>
      <c r="W228" s="228">
        <f t="shared" si="17"/>
        <v>0</v>
      </c>
      <c r="X228" s="228"/>
    </row>
    <row r="229" spans="1:24" x14ac:dyDescent="0.25">
      <c r="A229" s="103"/>
      <c r="B229" s="174"/>
      <c r="C229" s="323"/>
      <c r="D229" s="322"/>
      <c r="E229" s="321"/>
      <c r="F229" s="320"/>
      <c r="G229" s="39"/>
      <c r="H229" s="239"/>
      <c r="I229" s="239"/>
      <c r="J229" s="239"/>
      <c r="K229" s="239"/>
      <c r="L229" s="239"/>
      <c r="M229" s="239"/>
      <c r="N229" s="239"/>
      <c r="O229" s="239"/>
      <c r="P229" s="239"/>
      <c r="Q229" s="250"/>
      <c r="R229" s="255"/>
      <c r="S229" s="234"/>
      <c r="T229" s="235"/>
      <c r="U229" s="234"/>
      <c r="V229" s="234"/>
      <c r="W229" s="235"/>
      <c r="X229" s="235"/>
    </row>
    <row r="230" spans="1:24" ht="13.8" thickBot="1" x14ac:dyDescent="0.3">
      <c r="A230" s="103"/>
      <c r="B230" s="150" t="s">
        <v>167</v>
      </c>
      <c r="C230" s="319"/>
      <c r="D230" s="318"/>
      <c r="E230" s="317"/>
      <c r="F230" s="316">
        <f>SUM(F226:F228)</f>
        <v>0</v>
      </c>
      <c r="G230" s="316">
        <f>SUM(G226:G228)</f>
        <v>0</v>
      </c>
      <c r="H230" s="286"/>
      <c r="I230" s="286"/>
      <c r="J230" s="286"/>
      <c r="K230" s="286"/>
      <c r="L230" s="286"/>
      <c r="M230" s="286"/>
      <c r="N230" s="286"/>
      <c r="O230" s="286"/>
      <c r="P230" s="286"/>
      <c r="Q230" s="312"/>
      <c r="R230" s="311"/>
      <c r="S230" s="234">
        <f t="shared" si="13"/>
        <v>0</v>
      </c>
      <c r="T230" s="235">
        <f t="shared" si="14"/>
        <v>0</v>
      </c>
      <c r="U230" s="234">
        <f t="shared" si="15"/>
        <v>0</v>
      </c>
      <c r="V230" s="234">
        <f t="shared" si="16"/>
        <v>0</v>
      </c>
      <c r="W230" s="235">
        <f t="shared" si="17"/>
        <v>0</v>
      </c>
      <c r="X230" s="235"/>
    </row>
    <row r="231" spans="1:24" ht="13.8" thickTop="1" x14ac:dyDescent="0.25">
      <c r="A231" s="103"/>
      <c r="B231" s="150"/>
      <c r="C231" s="294"/>
      <c r="D231" s="293"/>
      <c r="E231" s="292"/>
      <c r="F231" s="315"/>
      <c r="G231" s="315"/>
      <c r="H231" s="286"/>
      <c r="I231" s="286"/>
      <c r="J231" s="286"/>
      <c r="K231" s="286"/>
      <c r="L231" s="286"/>
      <c r="M231" s="286"/>
      <c r="N231" s="286"/>
      <c r="O231" s="286"/>
      <c r="P231" s="286"/>
      <c r="Q231" s="312"/>
      <c r="R231" s="314"/>
      <c r="S231" s="222"/>
      <c r="T231" s="228"/>
      <c r="U231" s="222"/>
      <c r="V231" s="222"/>
      <c r="W231" s="228"/>
      <c r="X231" s="228"/>
    </row>
    <row r="232" spans="1:24" ht="13.8" thickBot="1" x14ac:dyDescent="0.3">
      <c r="A232" s="180"/>
      <c r="B232" s="181" t="s">
        <v>53</v>
      </c>
      <c r="C232" s="303"/>
      <c r="D232" s="302"/>
      <c r="E232" s="301"/>
      <c r="F232" s="313">
        <f>SUM(F100+F164+F178+F197+F206+F215+F223+F230)</f>
        <v>188962</v>
      </c>
      <c r="G232" s="313">
        <f>SUM(G100+G164+G178+G197+G206+G215+G223+G230)</f>
        <v>189962</v>
      </c>
      <c r="H232" s="286"/>
      <c r="I232" s="286"/>
      <c r="J232" s="286"/>
      <c r="K232" s="286"/>
      <c r="L232" s="286"/>
      <c r="M232" s="286"/>
      <c r="N232" s="286"/>
      <c r="O232" s="286"/>
      <c r="P232" s="286"/>
      <c r="Q232" s="312"/>
      <c r="R232" s="311"/>
      <c r="S232" s="296">
        <f t="shared" si="13"/>
        <v>-188962</v>
      </c>
      <c r="T232" s="295">
        <f t="shared" si="14"/>
        <v>-1</v>
      </c>
      <c r="U232" s="296">
        <f t="shared" si="15"/>
        <v>0</v>
      </c>
      <c r="V232" s="296">
        <f t="shared" si="16"/>
        <v>-189962</v>
      </c>
      <c r="W232" s="295">
        <f t="shared" si="17"/>
        <v>-1</v>
      </c>
      <c r="X232" s="295"/>
    </row>
    <row r="233" spans="1:24" ht="13.8" thickTop="1" x14ac:dyDescent="0.25">
      <c r="B233" s="91"/>
      <c r="F233" s="276"/>
      <c r="H233" s="239"/>
      <c r="I233" s="239"/>
      <c r="J233" s="239"/>
      <c r="K233" s="239"/>
      <c r="L233" s="239"/>
      <c r="M233" s="239"/>
      <c r="N233" s="239"/>
      <c r="O233" s="239"/>
      <c r="P233" s="239"/>
      <c r="Q233" s="250"/>
      <c r="R233" s="256"/>
      <c r="S233" s="222"/>
      <c r="T233" s="228"/>
      <c r="U233" s="222"/>
      <c r="V233" s="222"/>
      <c r="W233" s="228"/>
      <c r="X233" s="228"/>
    </row>
    <row r="234" spans="1:24" x14ac:dyDescent="0.25">
      <c r="A234" s="74" t="s">
        <v>61</v>
      </c>
      <c r="F234" s="276"/>
      <c r="H234" s="239"/>
      <c r="I234" s="239"/>
      <c r="J234" s="239"/>
      <c r="K234" s="239"/>
      <c r="L234" s="239"/>
      <c r="M234" s="239"/>
      <c r="N234" s="239"/>
      <c r="O234" s="239"/>
      <c r="P234" s="239"/>
      <c r="Q234" s="250"/>
      <c r="R234" s="256"/>
      <c r="S234" s="222"/>
      <c r="T234" s="228"/>
      <c r="U234" s="222"/>
      <c r="V234" s="222"/>
      <c r="W234" s="228"/>
      <c r="X234" s="228"/>
    </row>
    <row r="235" spans="1:24" x14ac:dyDescent="0.25">
      <c r="A235" s="74" t="s">
        <v>18</v>
      </c>
      <c r="B235" s="185" t="s">
        <v>9</v>
      </c>
      <c r="F235" s="276"/>
      <c r="H235" s="239"/>
      <c r="I235" s="239"/>
      <c r="J235" s="239"/>
      <c r="K235" s="239"/>
      <c r="L235" s="239"/>
      <c r="M235" s="239"/>
      <c r="N235" s="239"/>
      <c r="O235" s="239"/>
      <c r="P235" s="239"/>
      <c r="Q235" s="250"/>
      <c r="R235" s="256"/>
      <c r="S235" s="222"/>
      <c r="T235" s="228"/>
      <c r="U235" s="222"/>
      <c r="V235" s="222"/>
      <c r="W235" s="228"/>
      <c r="X235" s="228"/>
    </row>
    <row r="236" spans="1:24" x14ac:dyDescent="0.25">
      <c r="B236" s="141" t="s">
        <v>37</v>
      </c>
      <c r="C236" s="310"/>
      <c r="D236" s="339">
        <v>8</v>
      </c>
      <c r="E236" s="338">
        <v>700</v>
      </c>
      <c r="F236" s="369">
        <f>D236*E236</f>
        <v>5600</v>
      </c>
      <c r="G236" s="32">
        <f>F236*C4</f>
        <v>5600</v>
      </c>
      <c r="H236" s="239"/>
      <c r="I236" s="239"/>
      <c r="J236" s="239"/>
      <c r="K236" s="239"/>
      <c r="L236" s="239"/>
      <c r="M236" s="239"/>
      <c r="N236" s="239"/>
      <c r="O236" s="239"/>
      <c r="P236" s="239"/>
      <c r="Q236" s="250"/>
      <c r="R236" s="261"/>
      <c r="S236" s="222">
        <f t="shared" si="13"/>
        <v>-5600</v>
      </c>
      <c r="T236" s="228">
        <f t="shared" si="14"/>
        <v>-1</v>
      </c>
      <c r="U236" s="222">
        <f t="shared" si="15"/>
        <v>0</v>
      </c>
      <c r="V236" s="222">
        <f t="shared" si="16"/>
        <v>-5600</v>
      </c>
      <c r="W236" s="228">
        <f t="shared" si="17"/>
        <v>-1</v>
      </c>
      <c r="X236" s="228"/>
    </row>
    <row r="237" spans="1:24" x14ac:dyDescent="0.25">
      <c r="B237" s="141" t="s">
        <v>38</v>
      </c>
      <c r="C237" s="309"/>
      <c r="D237" s="308"/>
      <c r="E237" s="307"/>
      <c r="F237" s="276">
        <f>D237*E237</f>
        <v>0</v>
      </c>
      <c r="G237" s="35">
        <f>F237*C4</f>
        <v>0</v>
      </c>
      <c r="H237" s="239"/>
      <c r="I237" s="239"/>
      <c r="J237" s="239"/>
      <c r="K237" s="239"/>
      <c r="L237" s="239"/>
      <c r="M237" s="239"/>
      <c r="N237" s="239"/>
      <c r="O237" s="239"/>
      <c r="P237" s="239"/>
      <c r="Q237" s="250"/>
      <c r="R237" s="261"/>
      <c r="S237" s="222">
        <f t="shared" si="13"/>
        <v>0</v>
      </c>
      <c r="T237" s="228">
        <f t="shared" si="14"/>
        <v>0</v>
      </c>
      <c r="U237" s="222">
        <f t="shared" si="15"/>
        <v>0</v>
      </c>
      <c r="V237" s="222">
        <f t="shared" si="16"/>
        <v>0</v>
      </c>
      <c r="W237" s="228">
        <f t="shared" si="17"/>
        <v>0</v>
      </c>
      <c r="X237" s="228"/>
    </row>
    <row r="238" spans="1:24" ht="26.4" x14ac:dyDescent="0.25">
      <c r="B238" s="153" t="s">
        <v>63</v>
      </c>
      <c r="C238" s="309"/>
      <c r="D238" s="308"/>
      <c r="E238" s="307"/>
      <c r="F238" s="276">
        <f>D238*E238</f>
        <v>0</v>
      </c>
      <c r="G238" s="35">
        <f>F238*C4</f>
        <v>0</v>
      </c>
      <c r="H238" s="239"/>
      <c r="I238" s="239"/>
      <c r="J238" s="239"/>
      <c r="K238" s="239"/>
      <c r="L238" s="239"/>
      <c r="M238" s="239"/>
      <c r="N238" s="239"/>
      <c r="O238" s="239"/>
      <c r="P238" s="239"/>
      <c r="Q238" s="250"/>
      <c r="R238" s="261"/>
      <c r="S238" s="222">
        <f t="shared" si="13"/>
        <v>0</v>
      </c>
      <c r="T238" s="228">
        <f t="shared" si="14"/>
        <v>0</v>
      </c>
      <c r="U238" s="222">
        <f t="shared" si="15"/>
        <v>0</v>
      </c>
      <c r="V238" s="222">
        <f t="shared" si="16"/>
        <v>0</v>
      </c>
      <c r="W238" s="228">
        <f t="shared" si="17"/>
        <v>0</v>
      </c>
      <c r="X238" s="228"/>
    </row>
    <row r="239" spans="1:24" x14ac:dyDescent="0.25">
      <c r="B239" s="186" t="s">
        <v>39</v>
      </c>
      <c r="C239" s="306"/>
      <c r="D239" s="305"/>
      <c r="E239" s="304"/>
      <c r="F239" s="276"/>
      <c r="H239" s="239"/>
      <c r="I239" s="239"/>
      <c r="J239" s="239"/>
      <c r="K239" s="239"/>
      <c r="L239" s="239"/>
      <c r="M239" s="239"/>
      <c r="N239" s="239"/>
      <c r="O239" s="239"/>
      <c r="P239" s="239"/>
      <c r="Q239" s="250"/>
      <c r="R239" s="256"/>
      <c r="S239" s="222"/>
      <c r="T239" s="228"/>
      <c r="U239" s="222"/>
      <c r="V239" s="222"/>
      <c r="W239" s="228"/>
      <c r="X239" s="228"/>
    </row>
    <row r="240" spans="1:24" x14ac:dyDescent="0.25">
      <c r="B240" s="141" t="s">
        <v>40</v>
      </c>
      <c r="C240" s="309"/>
      <c r="D240" s="308">
        <v>8</v>
      </c>
      <c r="E240" s="307">
        <v>600</v>
      </c>
      <c r="F240" s="276">
        <f>D240*E240</f>
        <v>4800</v>
      </c>
      <c r="G240" s="35">
        <f>F240*C4</f>
        <v>4800</v>
      </c>
      <c r="H240" s="239"/>
      <c r="I240" s="239"/>
      <c r="J240" s="239"/>
      <c r="K240" s="239"/>
      <c r="L240" s="239"/>
      <c r="M240" s="239"/>
      <c r="N240" s="239"/>
      <c r="O240" s="239"/>
      <c r="P240" s="239"/>
      <c r="Q240" s="250"/>
      <c r="R240" s="261"/>
      <c r="S240" s="222">
        <f t="shared" si="13"/>
        <v>-4800</v>
      </c>
      <c r="T240" s="228">
        <f t="shared" si="14"/>
        <v>-1</v>
      </c>
      <c r="U240" s="222">
        <f t="shared" si="15"/>
        <v>0</v>
      </c>
      <c r="V240" s="222">
        <f t="shared" si="16"/>
        <v>-4800</v>
      </c>
      <c r="W240" s="228">
        <f t="shared" si="17"/>
        <v>-1</v>
      </c>
      <c r="X240" s="228"/>
    </row>
    <row r="241" spans="1:25" x14ac:dyDescent="0.25">
      <c r="B241" s="141" t="s">
        <v>41</v>
      </c>
      <c r="C241" s="309"/>
      <c r="D241" s="308">
        <v>8</v>
      </c>
      <c r="E241" s="307">
        <v>719</v>
      </c>
      <c r="F241" s="276">
        <f>D241*E241</f>
        <v>5752</v>
      </c>
      <c r="G241" s="35">
        <f>F241*C4</f>
        <v>5752</v>
      </c>
      <c r="H241" s="239"/>
      <c r="I241" s="239"/>
      <c r="J241" s="239"/>
      <c r="K241" s="239"/>
      <c r="L241" s="239"/>
      <c r="M241" s="239"/>
      <c r="N241" s="239"/>
      <c r="O241" s="239"/>
      <c r="P241" s="239"/>
      <c r="Q241" s="250"/>
      <c r="R241" s="261"/>
      <c r="S241" s="222">
        <f t="shared" si="13"/>
        <v>-5752</v>
      </c>
      <c r="T241" s="228">
        <f t="shared" si="14"/>
        <v>-1</v>
      </c>
      <c r="U241" s="222">
        <f t="shared" si="15"/>
        <v>0</v>
      </c>
      <c r="V241" s="222">
        <f t="shared" si="16"/>
        <v>-5752</v>
      </c>
      <c r="W241" s="228">
        <f t="shared" si="17"/>
        <v>-1</v>
      </c>
      <c r="X241" s="228"/>
    </row>
    <row r="242" spans="1:25" x14ac:dyDescent="0.25">
      <c r="B242" s="141" t="s">
        <v>42</v>
      </c>
      <c r="C242" s="309"/>
      <c r="D242" s="308">
        <v>8</v>
      </c>
      <c r="E242" s="307">
        <v>100</v>
      </c>
      <c r="F242" s="276">
        <f>D242*E242</f>
        <v>800</v>
      </c>
      <c r="G242" s="35">
        <f>F242*C4</f>
        <v>800</v>
      </c>
      <c r="H242" s="239"/>
      <c r="I242" s="239"/>
      <c r="J242" s="239"/>
      <c r="K242" s="239"/>
      <c r="L242" s="239"/>
      <c r="M242" s="239"/>
      <c r="N242" s="239"/>
      <c r="O242" s="239"/>
      <c r="P242" s="239"/>
      <c r="Q242" s="250"/>
      <c r="R242" s="261"/>
      <c r="S242" s="222">
        <f t="shared" si="13"/>
        <v>-800</v>
      </c>
      <c r="T242" s="228">
        <f t="shared" si="14"/>
        <v>-1</v>
      </c>
      <c r="U242" s="222">
        <f t="shared" si="15"/>
        <v>0</v>
      </c>
      <c r="V242" s="222">
        <f t="shared" si="16"/>
        <v>-800</v>
      </c>
      <c r="W242" s="228">
        <f t="shared" si="17"/>
        <v>-1</v>
      </c>
      <c r="X242" s="228"/>
    </row>
    <row r="243" spans="1:25" x14ac:dyDescent="0.25">
      <c r="B243" s="186" t="s">
        <v>43</v>
      </c>
      <c r="C243" s="306"/>
      <c r="D243" s="305"/>
      <c r="E243" s="304"/>
      <c r="F243" s="276"/>
      <c r="H243" s="239"/>
      <c r="I243" s="239"/>
      <c r="J243" s="239"/>
      <c r="K243" s="239"/>
      <c r="L243" s="239"/>
      <c r="M243" s="239"/>
      <c r="N243" s="239"/>
      <c r="O243" s="239"/>
      <c r="P243" s="239"/>
      <c r="Q243" s="250"/>
      <c r="R243" s="256"/>
      <c r="S243" s="222"/>
      <c r="T243" s="228"/>
      <c r="U243" s="222"/>
      <c r="V243" s="222"/>
      <c r="W243" s="228"/>
      <c r="X243" s="228"/>
    </row>
    <row r="244" spans="1:25" x14ac:dyDescent="0.25">
      <c r="B244" s="141" t="s">
        <v>44</v>
      </c>
      <c r="C244" s="309"/>
      <c r="D244" s="308">
        <v>8</v>
      </c>
      <c r="E244" s="307">
        <v>466</v>
      </c>
      <c r="F244" s="276">
        <f>D244*E244</f>
        <v>3728</v>
      </c>
      <c r="G244" s="35">
        <f>F244*C4</f>
        <v>3728</v>
      </c>
      <c r="H244" s="239"/>
      <c r="I244" s="239"/>
      <c r="J244" s="239"/>
      <c r="K244" s="239"/>
      <c r="L244" s="239"/>
      <c r="M244" s="239"/>
      <c r="N244" s="239"/>
      <c r="O244" s="239"/>
      <c r="P244" s="239"/>
      <c r="Q244" s="250"/>
      <c r="R244" s="261"/>
      <c r="S244" s="222">
        <f t="shared" si="13"/>
        <v>-3728</v>
      </c>
      <c r="T244" s="228">
        <f t="shared" si="14"/>
        <v>-1</v>
      </c>
      <c r="U244" s="222">
        <f t="shared" si="15"/>
        <v>0</v>
      </c>
      <c r="V244" s="222">
        <f t="shared" si="16"/>
        <v>-3728</v>
      </c>
      <c r="W244" s="228">
        <f t="shared" si="17"/>
        <v>-1</v>
      </c>
      <c r="X244" s="228"/>
    </row>
    <row r="245" spans="1:25" x14ac:dyDescent="0.25">
      <c r="B245" s="186" t="s">
        <v>45</v>
      </c>
      <c r="C245" s="5"/>
      <c r="D245" s="5"/>
      <c r="E245" s="5"/>
      <c r="F245" s="172"/>
      <c r="H245" s="239"/>
      <c r="I245" s="239"/>
      <c r="J245" s="239"/>
      <c r="K245" s="239"/>
      <c r="L245" s="239"/>
      <c r="M245" s="239"/>
      <c r="N245" s="239"/>
      <c r="O245" s="239"/>
      <c r="P245" s="239"/>
      <c r="Q245" s="250"/>
      <c r="R245" s="256"/>
      <c r="S245" s="222"/>
      <c r="T245" s="228"/>
      <c r="U245" s="222"/>
      <c r="V245" s="222"/>
      <c r="W245" s="228"/>
      <c r="X245" s="228"/>
    </row>
    <row r="246" spans="1:25" x14ac:dyDescent="0.25">
      <c r="B246" s="141" t="s">
        <v>46</v>
      </c>
      <c r="C246" s="309"/>
      <c r="D246" s="308"/>
      <c r="E246" s="307"/>
      <c r="F246" s="276">
        <f>D246*E246</f>
        <v>0</v>
      </c>
      <c r="G246" s="35">
        <f>F246*C4</f>
        <v>0</v>
      </c>
      <c r="H246" s="239"/>
      <c r="I246" s="239"/>
      <c r="J246" s="239"/>
      <c r="K246" s="239"/>
      <c r="L246" s="239"/>
      <c r="M246" s="239"/>
      <c r="N246" s="239"/>
      <c r="O246" s="239"/>
      <c r="P246" s="239"/>
      <c r="Q246" s="250"/>
      <c r="R246" s="261"/>
      <c r="S246" s="222">
        <f t="shared" si="13"/>
        <v>0</v>
      </c>
      <c r="T246" s="228">
        <f t="shared" si="14"/>
        <v>0</v>
      </c>
      <c r="U246" s="222">
        <f t="shared" si="15"/>
        <v>0</v>
      </c>
      <c r="V246" s="222">
        <f t="shared" si="16"/>
        <v>0</v>
      </c>
      <c r="W246" s="228">
        <f t="shared" si="17"/>
        <v>0</v>
      </c>
      <c r="X246" s="228"/>
    </row>
    <row r="247" spans="1:25" x14ac:dyDescent="0.25">
      <c r="B247" s="153"/>
      <c r="C247" s="306"/>
      <c r="D247" s="305"/>
      <c r="E247" s="304"/>
      <c r="F247" s="276"/>
      <c r="H247" s="239"/>
      <c r="I247" s="239"/>
      <c r="J247" s="239"/>
      <c r="K247" s="239"/>
      <c r="L247" s="239"/>
      <c r="M247" s="239"/>
      <c r="N247" s="239"/>
      <c r="O247" s="239"/>
      <c r="P247" s="239"/>
      <c r="Q247" s="250"/>
      <c r="R247" s="256"/>
      <c r="S247" s="222"/>
      <c r="T247" s="228"/>
      <c r="U247" s="222"/>
      <c r="V247" s="222"/>
      <c r="W247" s="228"/>
      <c r="X247" s="228"/>
    </row>
    <row r="248" spans="1:25" x14ac:dyDescent="0.25">
      <c r="A248" s="181"/>
      <c r="B248" s="181" t="s">
        <v>62</v>
      </c>
      <c r="C248" s="303"/>
      <c r="D248" s="302"/>
      <c r="E248" s="301"/>
      <c r="F248" s="402">
        <f>SUM(F236+F237+F238+F240+F241+F242+F244+F246)</f>
        <v>20680</v>
      </c>
      <c r="G248" s="300">
        <f>SUM(G236+G237+G238+G240+G241+G242+G244+G246)</f>
        <v>20680</v>
      </c>
      <c r="H248" s="299"/>
      <c r="I248" s="299"/>
      <c r="J248" s="299"/>
      <c r="K248" s="299"/>
      <c r="L248" s="299"/>
      <c r="M248" s="299"/>
      <c r="N248" s="299"/>
      <c r="O248" s="299"/>
      <c r="P248" s="299"/>
      <c r="Q248" s="298"/>
      <c r="R248" s="297"/>
      <c r="S248" s="296">
        <f t="shared" si="13"/>
        <v>-20680</v>
      </c>
      <c r="T248" s="295">
        <f t="shared" si="14"/>
        <v>-1</v>
      </c>
      <c r="U248" s="296">
        <f t="shared" si="15"/>
        <v>0</v>
      </c>
      <c r="V248" s="296">
        <f t="shared" si="16"/>
        <v>-20680</v>
      </c>
      <c r="W248" s="295">
        <f t="shared" si="17"/>
        <v>-1</v>
      </c>
      <c r="X248" s="295"/>
    </row>
    <row r="249" spans="1:25" x14ac:dyDescent="0.25">
      <c r="A249" s="150"/>
      <c r="B249" s="150"/>
      <c r="C249" s="294"/>
      <c r="D249" s="293"/>
      <c r="E249" s="292"/>
      <c r="F249" s="291">
        <f>(F248/F251)</f>
        <v>9.8644355615764012E-2</v>
      </c>
      <c r="G249" s="291">
        <f>(G248/G251)</f>
        <v>9.8176052259283525E-2</v>
      </c>
      <c r="H249" s="290"/>
      <c r="I249" s="289"/>
      <c r="J249" s="289"/>
      <c r="K249" s="289"/>
      <c r="L249" s="289"/>
      <c r="M249" s="289"/>
      <c r="N249" s="289"/>
      <c r="O249" s="289"/>
      <c r="P249" s="289"/>
      <c r="Q249" s="289"/>
      <c r="R249" s="288"/>
      <c r="S249" s="288"/>
      <c r="T249" s="288"/>
      <c r="U249" s="288"/>
      <c r="V249" s="288"/>
      <c r="W249" s="288"/>
      <c r="X249" s="288"/>
      <c r="Y249" s="39"/>
    </row>
    <row r="250" spans="1:25" x14ac:dyDescent="0.25">
      <c r="F250" s="276"/>
      <c r="H250" s="239"/>
      <c r="I250" s="239"/>
      <c r="J250" s="239"/>
      <c r="K250" s="239"/>
      <c r="L250" s="239"/>
      <c r="M250" s="239"/>
      <c r="N250" s="239"/>
      <c r="O250" s="239"/>
      <c r="P250" s="239"/>
      <c r="Q250" s="239"/>
      <c r="R250" s="1"/>
      <c r="S250" s="1"/>
      <c r="T250" s="1"/>
      <c r="U250" s="1"/>
      <c r="V250" s="1"/>
      <c r="W250" s="1"/>
      <c r="X250" s="1"/>
    </row>
    <row r="251" spans="1:25" ht="13.8" thickBot="1" x14ac:dyDescent="0.3">
      <c r="B251" s="74" t="s">
        <v>27</v>
      </c>
      <c r="F251" s="287">
        <f>SUM(F232+F248)</f>
        <v>209642</v>
      </c>
      <c r="G251" s="287">
        <f>G232+G248</f>
        <v>210642</v>
      </c>
      <c r="H251" s="286"/>
      <c r="I251" s="286"/>
      <c r="J251" s="286"/>
      <c r="K251" s="286"/>
      <c r="L251" s="286"/>
      <c r="M251" s="286"/>
      <c r="N251" s="286"/>
      <c r="O251" s="286"/>
      <c r="P251" s="286"/>
      <c r="Q251" s="286"/>
      <c r="R251" s="285"/>
      <c r="S251" s="285"/>
      <c r="T251" s="285"/>
      <c r="U251" s="285"/>
      <c r="V251" s="285"/>
      <c r="W251" s="285"/>
      <c r="X251" s="285"/>
    </row>
    <row r="252" spans="1:25" ht="13.8" thickTop="1" x14ac:dyDescent="0.25">
      <c r="F252" s="276"/>
      <c r="G252" s="283"/>
      <c r="H252" s="284"/>
      <c r="I252" s="284"/>
      <c r="J252" s="284"/>
      <c r="K252" s="284"/>
      <c r="L252" s="284"/>
      <c r="M252" s="284"/>
      <c r="N252" s="284"/>
      <c r="O252" s="284"/>
      <c r="P252" s="284"/>
      <c r="Q252" s="284"/>
      <c r="R252" s="283"/>
      <c r="S252" s="283"/>
      <c r="T252" s="283"/>
      <c r="U252" s="283"/>
      <c r="V252" s="283"/>
      <c r="W252" s="283"/>
      <c r="X252" s="283"/>
    </row>
    <row r="253" spans="1:25" x14ac:dyDescent="0.25">
      <c r="A253" s="74" t="s">
        <v>36</v>
      </c>
      <c r="B253" s="39"/>
      <c r="F253" s="1">
        <f>F251*0.03</f>
        <v>6289.26</v>
      </c>
      <c r="G253" s="1">
        <f>G251*0.03</f>
        <v>6319.26</v>
      </c>
      <c r="H253" s="239"/>
      <c r="I253" s="239"/>
      <c r="J253" s="239"/>
      <c r="K253" s="239"/>
      <c r="L253" s="239"/>
      <c r="M253" s="239"/>
      <c r="N253" s="239"/>
      <c r="O253" s="239"/>
      <c r="P253" s="239"/>
      <c r="Q253" s="239"/>
      <c r="R253" s="1"/>
      <c r="S253" s="1"/>
      <c r="T253" s="1"/>
      <c r="U253" s="1"/>
      <c r="V253" s="1"/>
      <c r="W253" s="1"/>
      <c r="X253" s="1"/>
    </row>
    <row r="254" spans="1:25" x14ac:dyDescent="0.25">
      <c r="F254" s="276"/>
      <c r="H254" s="239"/>
      <c r="I254" s="239"/>
      <c r="J254" s="239"/>
      <c r="K254" s="239"/>
      <c r="L254" s="239"/>
      <c r="M254" s="239"/>
      <c r="N254" s="239"/>
      <c r="O254" s="239"/>
      <c r="P254" s="239"/>
      <c r="Q254" s="239"/>
      <c r="R254" s="1"/>
      <c r="S254" s="1"/>
      <c r="T254" s="1"/>
      <c r="U254" s="1"/>
      <c r="V254" s="1"/>
      <c r="W254" s="1"/>
      <c r="X254" s="1"/>
    </row>
    <row r="255" spans="1:25" ht="13.8" thickBot="1" x14ac:dyDescent="0.3">
      <c r="A255" s="117"/>
      <c r="B255" s="117" t="s">
        <v>28</v>
      </c>
      <c r="C255" s="282"/>
      <c r="D255" s="281"/>
      <c r="E255" s="280"/>
      <c r="F255" s="279">
        <f>SUM(F253+F251)</f>
        <v>215931.26</v>
      </c>
      <c r="G255" s="279">
        <f>SUM(G253+G251)</f>
        <v>216961.26</v>
      </c>
      <c r="H255" s="278"/>
      <c r="I255" s="278"/>
      <c r="J255" s="278"/>
      <c r="K255" s="278"/>
      <c r="L255" s="278"/>
      <c r="M255" s="278"/>
      <c r="N255" s="278"/>
      <c r="O255" s="278"/>
      <c r="P255" s="278"/>
      <c r="Q255" s="278"/>
      <c r="R255" s="277"/>
      <c r="S255" s="277"/>
      <c r="T255" s="277"/>
      <c r="U255" s="277"/>
      <c r="V255" s="277"/>
      <c r="W255" s="277"/>
      <c r="X255" s="277"/>
    </row>
    <row r="256" spans="1:25" hidden="1" x14ac:dyDescent="0.25">
      <c r="F256" s="276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"/>
      <c r="S256" s="1"/>
      <c r="T256" s="1"/>
      <c r="U256" s="1"/>
      <c r="V256" s="1"/>
      <c r="W256" s="1"/>
      <c r="X256" s="1"/>
    </row>
    <row r="257" spans="1:24" ht="13.8" hidden="1" thickBot="1" x14ac:dyDescent="0.3">
      <c r="A257" s="191" t="s">
        <v>24</v>
      </c>
      <c r="B257" s="192"/>
      <c r="C257" s="275"/>
      <c r="D257" s="274"/>
      <c r="E257" s="273"/>
      <c r="F257" s="272">
        <f>SUM(F255-F73)</f>
        <v>215931.26</v>
      </c>
      <c r="G257" s="272">
        <f>SUM(G255-G73)</f>
        <v>216961.26</v>
      </c>
      <c r="H257" s="271"/>
      <c r="I257" s="271"/>
      <c r="J257" s="271"/>
      <c r="K257" s="271"/>
      <c r="L257" s="271"/>
      <c r="M257" s="271"/>
      <c r="N257" s="271"/>
      <c r="O257" s="271"/>
      <c r="P257" s="271"/>
      <c r="Q257" s="271"/>
      <c r="R257" s="270"/>
      <c r="S257" s="270"/>
      <c r="T257" s="270"/>
      <c r="U257" s="270"/>
      <c r="V257" s="270"/>
      <c r="W257" s="270"/>
      <c r="X257" s="270"/>
    </row>
    <row r="258" spans="1:24" hidden="1" x14ac:dyDescent="0.25">
      <c r="F258" s="268"/>
    </row>
    <row r="259" spans="1:24" x14ac:dyDescent="0.25">
      <c r="F259" s="268"/>
    </row>
    <row r="260" spans="1:24" x14ac:dyDescent="0.25">
      <c r="A260" s="74" t="s">
        <v>15</v>
      </c>
      <c r="F260" s="268"/>
    </row>
    <row r="261" spans="1:24" x14ac:dyDescent="0.25">
      <c r="F261" s="268"/>
    </row>
    <row r="262" spans="1:24" ht="15" x14ac:dyDescent="0.4">
      <c r="B262" s="197" t="s">
        <v>16</v>
      </c>
      <c r="D262" s="269" t="s">
        <v>26</v>
      </c>
      <c r="F262" s="861" t="s">
        <v>17</v>
      </c>
      <c r="G262" s="851"/>
      <c r="H262" s="199"/>
      <c r="I262" s="199"/>
      <c r="J262" s="199"/>
      <c r="K262" s="199"/>
      <c r="L262" s="199"/>
      <c r="M262" s="199"/>
      <c r="N262" s="199"/>
      <c r="O262" s="199"/>
      <c r="P262" s="199"/>
      <c r="Q262" s="199"/>
      <c r="R262" s="199"/>
      <c r="S262" s="199"/>
      <c r="T262" s="199"/>
      <c r="U262" s="199"/>
      <c r="V262" s="199"/>
      <c r="W262" s="199"/>
      <c r="X262" s="199"/>
    </row>
    <row r="263" spans="1:24" ht="15" x14ac:dyDescent="0.4">
      <c r="D263" s="269"/>
      <c r="F263" s="268"/>
    </row>
    <row r="264" spans="1:24" x14ac:dyDescent="0.25">
      <c r="F264" s="268"/>
    </row>
    <row r="265" spans="1:24" x14ac:dyDescent="0.25">
      <c r="F265" s="268"/>
    </row>
    <row r="266" spans="1:24" x14ac:dyDescent="0.25">
      <c r="F266" s="268"/>
    </row>
    <row r="267" spans="1:24" x14ac:dyDescent="0.25">
      <c r="F267" s="268"/>
    </row>
    <row r="268" spans="1:24" x14ac:dyDescent="0.25">
      <c r="F268" s="268"/>
    </row>
    <row r="269" spans="1:24" x14ac:dyDescent="0.25">
      <c r="F269" s="268"/>
    </row>
    <row r="270" spans="1:24" x14ac:dyDescent="0.25">
      <c r="F270" s="268"/>
    </row>
    <row r="271" spans="1:24" x14ac:dyDescent="0.25">
      <c r="F271" s="268"/>
    </row>
    <row r="272" spans="1:24" x14ac:dyDescent="0.25">
      <c r="F272" s="268"/>
    </row>
    <row r="273" spans="6:6" x14ac:dyDescent="0.25">
      <c r="F273" s="268"/>
    </row>
    <row r="274" spans="6:6" x14ac:dyDescent="0.25">
      <c r="F274" s="268"/>
    </row>
    <row r="275" spans="6:6" x14ac:dyDescent="0.25">
      <c r="F275" s="268"/>
    </row>
    <row r="276" spans="6:6" x14ac:dyDescent="0.25">
      <c r="F276" s="268"/>
    </row>
    <row r="277" spans="6:6" x14ac:dyDescent="0.25">
      <c r="F277" s="268"/>
    </row>
    <row r="278" spans="6:6" x14ac:dyDescent="0.25">
      <c r="F278" s="268"/>
    </row>
    <row r="279" spans="6:6" x14ac:dyDescent="0.25">
      <c r="F279" s="268"/>
    </row>
    <row r="280" spans="6:6" x14ac:dyDescent="0.25">
      <c r="F280" s="268"/>
    </row>
    <row r="281" spans="6:6" x14ac:dyDescent="0.25">
      <c r="F281" s="268"/>
    </row>
    <row r="282" spans="6:6" x14ac:dyDescent="0.25">
      <c r="F282" s="268"/>
    </row>
    <row r="283" spans="6:6" x14ac:dyDescent="0.25">
      <c r="F283" s="268"/>
    </row>
    <row r="284" spans="6:6" x14ac:dyDescent="0.25">
      <c r="F284" s="268"/>
    </row>
    <row r="285" spans="6:6" x14ac:dyDescent="0.25">
      <c r="F285" s="268"/>
    </row>
    <row r="286" spans="6:6" x14ac:dyDescent="0.25">
      <c r="F286" s="268"/>
    </row>
    <row r="287" spans="6:6" x14ac:dyDescent="0.25">
      <c r="F287" s="268"/>
    </row>
    <row r="288" spans="6:6" x14ac:dyDescent="0.25">
      <c r="F288" s="268"/>
    </row>
    <row r="289" spans="6:6" x14ac:dyDescent="0.25">
      <c r="F289" s="268"/>
    </row>
    <row r="290" spans="6:6" x14ac:dyDescent="0.25">
      <c r="F290" s="268"/>
    </row>
    <row r="291" spans="6:6" x14ac:dyDescent="0.25">
      <c r="F291" s="268"/>
    </row>
    <row r="292" spans="6:6" x14ac:dyDescent="0.25">
      <c r="F292" s="268"/>
    </row>
    <row r="293" spans="6:6" x14ac:dyDescent="0.25">
      <c r="F293" s="268"/>
    </row>
    <row r="294" spans="6:6" x14ac:dyDescent="0.25">
      <c r="F294" s="268"/>
    </row>
    <row r="295" spans="6:6" x14ac:dyDescent="0.25">
      <c r="F295" s="268"/>
    </row>
    <row r="296" spans="6:6" x14ac:dyDescent="0.25">
      <c r="F296" s="268"/>
    </row>
    <row r="297" spans="6:6" x14ac:dyDescent="0.25">
      <c r="F297" s="268"/>
    </row>
    <row r="298" spans="6:6" x14ac:dyDescent="0.25">
      <c r="F298" s="268"/>
    </row>
    <row r="299" spans="6:6" x14ac:dyDescent="0.25">
      <c r="F299" s="268"/>
    </row>
    <row r="300" spans="6:6" x14ac:dyDescent="0.25">
      <c r="F300" s="268"/>
    </row>
    <row r="301" spans="6:6" x14ac:dyDescent="0.25">
      <c r="F301" s="268"/>
    </row>
    <row r="302" spans="6:6" x14ac:dyDescent="0.25">
      <c r="F302" s="268"/>
    </row>
    <row r="303" spans="6:6" x14ac:dyDescent="0.25">
      <c r="F303" s="268"/>
    </row>
    <row r="304" spans="6:6" x14ac:dyDescent="0.25">
      <c r="F304" s="268"/>
    </row>
    <row r="305" spans="6:6" x14ac:dyDescent="0.25">
      <c r="F305" s="268"/>
    </row>
    <row r="306" spans="6:6" x14ac:dyDescent="0.25">
      <c r="F306" s="268"/>
    </row>
    <row r="307" spans="6:6" x14ac:dyDescent="0.25">
      <c r="F307" s="268"/>
    </row>
    <row r="308" spans="6:6" x14ac:dyDescent="0.25">
      <c r="F308" s="268"/>
    </row>
    <row r="309" spans="6:6" x14ac:dyDescent="0.25">
      <c r="F309" s="268"/>
    </row>
    <row r="310" spans="6:6" x14ac:dyDescent="0.25">
      <c r="F310" s="268"/>
    </row>
    <row r="311" spans="6:6" x14ac:dyDescent="0.25">
      <c r="F311" s="268"/>
    </row>
    <row r="312" spans="6:6" x14ac:dyDescent="0.25">
      <c r="F312" s="268"/>
    </row>
    <row r="313" spans="6:6" x14ac:dyDescent="0.25">
      <c r="F313" s="268"/>
    </row>
    <row r="314" spans="6:6" x14ac:dyDescent="0.25">
      <c r="F314" s="268"/>
    </row>
    <row r="315" spans="6:6" x14ac:dyDescent="0.25">
      <c r="F315" s="268"/>
    </row>
    <row r="316" spans="6:6" x14ac:dyDescent="0.25">
      <c r="F316" s="268"/>
    </row>
    <row r="317" spans="6:6" x14ac:dyDescent="0.25">
      <c r="F317" s="268"/>
    </row>
    <row r="318" spans="6:6" x14ac:dyDescent="0.25">
      <c r="F318" s="268"/>
    </row>
    <row r="319" spans="6:6" x14ac:dyDescent="0.25">
      <c r="F319" s="268"/>
    </row>
    <row r="320" spans="6:6" x14ac:dyDescent="0.25">
      <c r="F320" s="268"/>
    </row>
    <row r="321" spans="6:6" x14ac:dyDescent="0.25">
      <c r="F321" s="268"/>
    </row>
    <row r="322" spans="6:6" x14ac:dyDescent="0.25">
      <c r="F322" s="268"/>
    </row>
    <row r="323" spans="6:6" x14ac:dyDescent="0.25">
      <c r="F323" s="268"/>
    </row>
    <row r="324" spans="6:6" x14ac:dyDescent="0.25">
      <c r="F324" s="268"/>
    </row>
    <row r="325" spans="6:6" x14ac:dyDescent="0.25">
      <c r="F325" s="268"/>
    </row>
    <row r="326" spans="6:6" x14ac:dyDescent="0.25">
      <c r="F326" s="268"/>
    </row>
    <row r="327" spans="6:6" x14ac:dyDescent="0.25">
      <c r="F327" s="268"/>
    </row>
    <row r="328" spans="6:6" x14ac:dyDescent="0.25">
      <c r="F328" s="268"/>
    </row>
    <row r="329" spans="6:6" x14ac:dyDescent="0.25">
      <c r="F329" s="268"/>
    </row>
    <row r="330" spans="6:6" x14ac:dyDescent="0.25">
      <c r="F330" s="268"/>
    </row>
    <row r="331" spans="6:6" x14ac:dyDescent="0.25">
      <c r="F331" s="268"/>
    </row>
    <row r="332" spans="6:6" x14ac:dyDescent="0.25">
      <c r="F332" s="268"/>
    </row>
    <row r="333" spans="6:6" x14ac:dyDescent="0.25">
      <c r="F333" s="268"/>
    </row>
    <row r="334" spans="6:6" x14ac:dyDescent="0.25">
      <c r="F334" s="268"/>
    </row>
    <row r="335" spans="6:6" x14ac:dyDescent="0.25">
      <c r="F335" s="268"/>
    </row>
    <row r="336" spans="6:6" x14ac:dyDescent="0.25">
      <c r="F336" s="268"/>
    </row>
    <row r="337" spans="6:6" x14ac:dyDescent="0.25">
      <c r="F337" s="268"/>
    </row>
    <row r="338" spans="6:6" x14ac:dyDescent="0.25">
      <c r="F338" s="268"/>
    </row>
    <row r="339" spans="6:6" x14ac:dyDescent="0.25">
      <c r="F339" s="268"/>
    </row>
    <row r="340" spans="6:6" x14ac:dyDescent="0.25">
      <c r="F340" s="268"/>
    </row>
    <row r="341" spans="6:6" x14ac:dyDescent="0.25">
      <c r="F341" s="268"/>
    </row>
    <row r="342" spans="6:6" x14ac:dyDescent="0.25">
      <c r="F342" s="268"/>
    </row>
    <row r="343" spans="6:6" x14ac:dyDescent="0.25">
      <c r="F343" s="268"/>
    </row>
    <row r="344" spans="6:6" x14ac:dyDescent="0.25">
      <c r="F344" s="268"/>
    </row>
    <row r="345" spans="6:6" x14ac:dyDescent="0.25">
      <c r="F345" s="268"/>
    </row>
    <row r="346" spans="6:6" x14ac:dyDescent="0.25">
      <c r="F346" s="268"/>
    </row>
    <row r="347" spans="6:6" x14ac:dyDescent="0.25">
      <c r="F347" s="268"/>
    </row>
    <row r="348" spans="6:6" x14ac:dyDescent="0.25">
      <c r="F348" s="268"/>
    </row>
    <row r="349" spans="6:6" x14ac:dyDescent="0.25">
      <c r="F349" s="268"/>
    </row>
    <row r="350" spans="6:6" x14ac:dyDescent="0.25">
      <c r="F350" s="268"/>
    </row>
    <row r="351" spans="6:6" x14ac:dyDescent="0.25">
      <c r="F351" s="268"/>
    </row>
    <row r="352" spans="6:6" x14ac:dyDescent="0.25">
      <c r="F352" s="268"/>
    </row>
    <row r="353" spans="6:6" x14ac:dyDescent="0.25">
      <c r="F353" s="268"/>
    </row>
    <row r="354" spans="6:6" x14ac:dyDescent="0.25">
      <c r="F354" s="268"/>
    </row>
    <row r="355" spans="6:6" x14ac:dyDescent="0.25">
      <c r="F355" s="268"/>
    </row>
    <row r="356" spans="6:6" x14ac:dyDescent="0.25">
      <c r="F356" s="268"/>
    </row>
    <row r="357" spans="6:6" x14ac:dyDescent="0.25">
      <c r="F357" s="268"/>
    </row>
    <row r="358" spans="6:6" x14ac:dyDescent="0.25">
      <c r="F358" s="268"/>
    </row>
    <row r="359" spans="6:6" x14ac:dyDescent="0.25">
      <c r="F359" s="268"/>
    </row>
    <row r="360" spans="6:6" x14ac:dyDescent="0.25">
      <c r="F360" s="268"/>
    </row>
    <row r="361" spans="6:6" x14ac:dyDescent="0.25">
      <c r="F361" s="268"/>
    </row>
    <row r="362" spans="6:6" x14ac:dyDescent="0.25">
      <c r="F362" s="268"/>
    </row>
    <row r="363" spans="6:6" x14ac:dyDescent="0.25">
      <c r="F363" s="268"/>
    </row>
    <row r="364" spans="6:6" x14ac:dyDescent="0.25">
      <c r="F364" s="268"/>
    </row>
    <row r="365" spans="6:6" x14ac:dyDescent="0.25">
      <c r="F365" s="268"/>
    </row>
    <row r="366" spans="6:6" x14ac:dyDescent="0.25">
      <c r="F366" s="268"/>
    </row>
    <row r="367" spans="6:6" x14ac:dyDescent="0.25">
      <c r="F367" s="268"/>
    </row>
    <row r="368" spans="6:6" x14ac:dyDescent="0.25">
      <c r="F368" s="268"/>
    </row>
    <row r="369" spans="6:6" x14ac:dyDescent="0.25">
      <c r="F369" s="268"/>
    </row>
    <row r="370" spans="6:6" x14ac:dyDescent="0.25">
      <c r="F370" s="268"/>
    </row>
    <row r="371" spans="6:6" x14ac:dyDescent="0.25">
      <c r="F371" s="268"/>
    </row>
    <row r="372" spans="6:6" x14ac:dyDescent="0.25">
      <c r="F372" s="268"/>
    </row>
    <row r="373" spans="6:6" x14ac:dyDescent="0.25">
      <c r="F373" s="268"/>
    </row>
    <row r="374" spans="6:6" x14ac:dyDescent="0.25">
      <c r="F374" s="268"/>
    </row>
    <row r="375" spans="6:6" x14ac:dyDescent="0.25">
      <c r="F375" s="268"/>
    </row>
    <row r="376" spans="6:6" x14ac:dyDescent="0.25">
      <c r="F376" s="268"/>
    </row>
    <row r="377" spans="6:6" x14ac:dyDescent="0.25">
      <c r="F377" s="268"/>
    </row>
    <row r="378" spans="6:6" x14ac:dyDescent="0.25">
      <c r="F378" s="268"/>
    </row>
    <row r="379" spans="6:6" x14ac:dyDescent="0.25">
      <c r="F379" s="268"/>
    </row>
    <row r="380" spans="6:6" x14ac:dyDescent="0.25">
      <c r="F380" s="268"/>
    </row>
    <row r="381" spans="6:6" x14ac:dyDescent="0.25">
      <c r="F381" s="268"/>
    </row>
    <row r="382" spans="6:6" x14ac:dyDescent="0.25">
      <c r="F382" s="268"/>
    </row>
    <row r="383" spans="6:6" x14ac:dyDescent="0.25">
      <c r="F383" s="268"/>
    </row>
    <row r="384" spans="6:6" x14ac:dyDescent="0.25">
      <c r="F384" s="268"/>
    </row>
    <row r="385" spans="6:6" x14ac:dyDescent="0.25">
      <c r="F385" s="268"/>
    </row>
    <row r="386" spans="6:6" x14ac:dyDescent="0.25">
      <c r="F386" s="268"/>
    </row>
    <row r="387" spans="6:6" x14ac:dyDescent="0.25">
      <c r="F387" s="268"/>
    </row>
    <row r="388" spans="6:6" x14ac:dyDescent="0.25">
      <c r="F388" s="268"/>
    </row>
    <row r="389" spans="6:6" x14ac:dyDescent="0.25">
      <c r="F389" s="268"/>
    </row>
    <row r="390" spans="6:6" x14ac:dyDescent="0.25">
      <c r="F390" s="268"/>
    </row>
    <row r="391" spans="6:6" x14ac:dyDescent="0.25">
      <c r="F391" s="268"/>
    </row>
    <row r="392" spans="6:6" x14ac:dyDescent="0.25">
      <c r="F392" s="268"/>
    </row>
    <row r="393" spans="6:6" x14ac:dyDescent="0.25">
      <c r="F393" s="268"/>
    </row>
    <row r="394" spans="6:6" x14ac:dyDescent="0.25">
      <c r="F394" s="268"/>
    </row>
    <row r="395" spans="6:6" x14ac:dyDescent="0.25">
      <c r="F395" s="268"/>
    </row>
    <row r="396" spans="6:6" x14ac:dyDescent="0.25">
      <c r="F396" s="268"/>
    </row>
    <row r="397" spans="6:6" x14ac:dyDescent="0.25">
      <c r="F397" s="268"/>
    </row>
    <row r="398" spans="6:6" x14ac:dyDescent="0.25">
      <c r="F398" s="268"/>
    </row>
    <row r="399" spans="6:6" x14ac:dyDescent="0.25">
      <c r="F399" s="268"/>
    </row>
    <row r="400" spans="6:6" x14ac:dyDescent="0.25">
      <c r="F400" s="268"/>
    </row>
    <row r="401" spans="6:6" x14ac:dyDescent="0.25">
      <c r="F401" s="268"/>
    </row>
    <row r="402" spans="6:6" x14ac:dyDescent="0.25">
      <c r="F402" s="268"/>
    </row>
    <row r="403" spans="6:6" x14ac:dyDescent="0.25">
      <c r="F403" s="268"/>
    </row>
    <row r="404" spans="6:6" x14ac:dyDescent="0.25">
      <c r="F404" s="268"/>
    </row>
    <row r="405" spans="6:6" x14ac:dyDescent="0.25">
      <c r="F405" s="268"/>
    </row>
    <row r="406" spans="6:6" x14ac:dyDescent="0.25">
      <c r="F406" s="268"/>
    </row>
    <row r="407" spans="6:6" x14ac:dyDescent="0.25">
      <c r="F407" s="268"/>
    </row>
    <row r="408" spans="6:6" x14ac:dyDescent="0.25">
      <c r="F408" s="268"/>
    </row>
    <row r="409" spans="6:6" x14ac:dyDescent="0.25">
      <c r="F409" s="268"/>
    </row>
    <row r="410" spans="6:6" x14ac:dyDescent="0.25">
      <c r="F410" s="268"/>
    </row>
    <row r="411" spans="6:6" x14ac:dyDescent="0.25">
      <c r="F411" s="268"/>
    </row>
    <row r="412" spans="6:6" x14ac:dyDescent="0.25">
      <c r="F412" s="268"/>
    </row>
    <row r="413" spans="6:6" x14ac:dyDescent="0.25">
      <c r="F413" s="268"/>
    </row>
    <row r="414" spans="6:6" x14ac:dyDescent="0.25">
      <c r="F414" s="268"/>
    </row>
    <row r="415" spans="6:6" x14ac:dyDescent="0.25">
      <c r="F415" s="268"/>
    </row>
    <row r="416" spans="6:6" x14ac:dyDescent="0.25">
      <c r="F416" s="268"/>
    </row>
    <row r="417" spans="6:6" x14ac:dyDescent="0.25">
      <c r="F417" s="268"/>
    </row>
    <row r="418" spans="6:6" x14ac:dyDescent="0.25">
      <c r="F418" s="268"/>
    </row>
    <row r="419" spans="6:6" x14ac:dyDescent="0.25">
      <c r="F419" s="268"/>
    </row>
    <row r="420" spans="6:6" x14ac:dyDescent="0.25">
      <c r="F420" s="268"/>
    </row>
    <row r="421" spans="6:6" x14ac:dyDescent="0.25">
      <c r="F421" s="268"/>
    </row>
    <row r="422" spans="6:6" x14ac:dyDescent="0.25">
      <c r="F422" s="268"/>
    </row>
    <row r="423" spans="6:6" x14ac:dyDescent="0.25">
      <c r="F423" s="268"/>
    </row>
    <row r="424" spans="6:6" x14ac:dyDescent="0.25">
      <c r="F424" s="268"/>
    </row>
    <row r="425" spans="6:6" x14ac:dyDescent="0.25">
      <c r="F425" s="268"/>
    </row>
    <row r="426" spans="6:6" x14ac:dyDescent="0.25">
      <c r="F426" s="268"/>
    </row>
    <row r="427" spans="6:6" x14ac:dyDescent="0.25">
      <c r="F427" s="268"/>
    </row>
    <row r="428" spans="6:6" x14ac:dyDescent="0.25">
      <c r="F428" s="268"/>
    </row>
    <row r="429" spans="6:6" x14ac:dyDescent="0.25">
      <c r="F429" s="268"/>
    </row>
    <row r="430" spans="6:6" x14ac:dyDescent="0.25">
      <c r="F430" s="268"/>
    </row>
    <row r="431" spans="6:6" x14ac:dyDescent="0.25">
      <c r="F431" s="268"/>
    </row>
    <row r="432" spans="6:6" x14ac:dyDescent="0.25">
      <c r="F432" s="268"/>
    </row>
    <row r="433" spans="6:6" x14ac:dyDescent="0.25">
      <c r="F433" s="268"/>
    </row>
    <row r="434" spans="6:6" x14ac:dyDescent="0.25">
      <c r="F434" s="268"/>
    </row>
    <row r="435" spans="6:6" x14ac:dyDescent="0.25">
      <c r="F435" s="268"/>
    </row>
    <row r="436" spans="6:6" x14ac:dyDescent="0.25">
      <c r="F436" s="268"/>
    </row>
    <row r="437" spans="6:6" x14ac:dyDescent="0.25">
      <c r="F437" s="268"/>
    </row>
    <row r="438" spans="6:6" x14ac:dyDescent="0.25">
      <c r="F438" s="268"/>
    </row>
    <row r="439" spans="6:6" x14ac:dyDescent="0.25">
      <c r="F439" s="268"/>
    </row>
    <row r="440" spans="6:6" x14ac:dyDescent="0.25">
      <c r="F440" s="268"/>
    </row>
    <row r="441" spans="6:6" x14ac:dyDescent="0.25">
      <c r="F441" s="268"/>
    </row>
    <row r="442" spans="6:6" x14ac:dyDescent="0.25">
      <c r="F442" s="268"/>
    </row>
    <row r="443" spans="6:6" x14ac:dyDescent="0.25">
      <c r="F443" s="268"/>
    </row>
    <row r="444" spans="6:6" x14ac:dyDescent="0.25">
      <c r="F444" s="268"/>
    </row>
    <row r="445" spans="6:6" x14ac:dyDescent="0.25">
      <c r="F445" s="268"/>
    </row>
    <row r="446" spans="6:6" x14ac:dyDescent="0.25">
      <c r="F446" s="268"/>
    </row>
    <row r="447" spans="6:6" x14ac:dyDescent="0.25">
      <c r="F447" s="268"/>
    </row>
    <row r="448" spans="6:6" x14ac:dyDescent="0.25">
      <c r="F448" s="268"/>
    </row>
    <row r="449" spans="6:6" x14ac:dyDescent="0.25">
      <c r="F449" s="268"/>
    </row>
    <row r="450" spans="6:6" x14ac:dyDescent="0.25">
      <c r="F450" s="268"/>
    </row>
    <row r="451" spans="6:6" x14ac:dyDescent="0.25">
      <c r="F451" s="268"/>
    </row>
    <row r="452" spans="6:6" x14ac:dyDescent="0.25">
      <c r="F452" s="268"/>
    </row>
    <row r="453" spans="6:6" x14ac:dyDescent="0.25">
      <c r="F453" s="268"/>
    </row>
    <row r="454" spans="6:6" x14ac:dyDescent="0.25">
      <c r="F454" s="268"/>
    </row>
    <row r="455" spans="6:6" x14ac:dyDescent="0.25">
      <c r="F455" s="268"/>
    </row>
    <row r="456" spans="6:6" x14ac:dyDescent="0.25">
      <c r="F456" s="268"/>
    </row>
    <row r="457" spans="6:6" x14ac:dyDescent="0.25">
      <c r="F457" s="268"/>
    </row>
    <row r="458" spans="6:6" x14ac:dyDescent="0.25">
      <c r="F458" s="268"/>
    </row>
    <row r="459" spans="6:6" x14ac:dyDescent="0.25">
      <c r="F459" s="268"/>
    </row>
    <row r="460" spans="6:6" x14ac:dyDescent="0.25">
      <c r="F460" s="268"/>
    </row>
    <row r="461" spans="6:6" x14ac:dyDescent="0.25">
      <c r="F461" s="268"/>
    </row>
    <row r="462" spans="6:6" x14ac:dyDescent="0.25">
      <c r="F462" s="268"/>
    </row>
    <row r="463" spans="6:6" x14ac:dyDescent="0.25">
      <c r="F463" s="268"/>
    </row>
    <row r="464" spans="6:6" x14ac:dyDescent="0.25">
      <c r="F464" s="268"/>
    </row>
    <row r="465" spans="6:6" x14ac:dyDescent="0.25">
      <c r="F465" s="268"/>
    </row>
    <row r="466" spans="6:6" x14ac:dyDescent="0.25">
      <c r="F466" s="268"/>
    </row>
    <row r="467" spans="6:6" x14ac:dyDescent="0.25">
      <c r="F467" s="268"/>
    </row>
    <row r="468" spans="6:6" x14ac:dyDescent="0.25">
      <c r="F468" s="268"/>
    </row>
    <row r="469" spans="6:6" x14ac:dyDescent="0.25">
      <c r="F469" s="268"/>
    </row>
    <row r="470" spans="6:6" x14ac:dyDescent="0.25">
      <c r="F470" s="268"/>
    </row>
    <row r="471" spans="6:6" x14ac:dyDescent="0.25">
      <c r="F471" s="268"/>
    </row>
    <row r="472" spans="6:6" x14ac:dyDescent="0.25">
      <c r="F472" s="268"/>
    </row>
    <row r="473" spans="6:6" x14ac:dyDescent="0.25">
      <c r="F473" s="268"/>
    </row>
    <row r="474" spans="6:6" x14ac:dyDescent="0.25">
      <c r="F474" s="268"/>
    </row>
    <row r="475" spans="6:6" x14ac:dyDescent="0.25">
      <c r="F475" s="268"/>
    </row>
    <row r="476" spans="6:6" x14ac:dyDescent="0.25">
      <c r="F476" s="268"/>
    </row>
    <row r="477" spans="6:6" x14ac:dyDescent="0.25">
      <c r="F477" s="268"/>
    </row>
    <row r="478" spans="6:6" x14ac:dyDescent="0.25">
      <c r="F478" s="268"/>
    </row>
    <row r="479" spans="6:6" x14ac:dyDescent="0.25">
      <c r="F479" s="268"/>
    </row>
    <row r="480" spans="6:6" x14ac:dyDescent="0.25">
      <c r="F480" s="268"/>
    </row>
    <row r="481" spans="6:6" x14ac:dyDescent="0.25">
      <c r="F481" s="268"/>
    </row>
    <row r="482" spans="6:6" x14ac:dyDescent="0.25">
      <c r="F482" s="268"/>
    </row>
    <row r="483" spans="6:6" x14ac:dyDescent="0.25">
      <c r="F483" s="268"/>
    </row>
    <row r="484" spans="6:6" x14ac:dyDescent="0.25">
      <c r="F484" s="268"/>
    </row>
    <row r="485" spans="6:6" x14ac:dyDescent="0.25">
      <c r="F485" s="268"/>
    </row>
    <row r="486" spans="6:6" x14ac:dyDescent="0.25">
      <c r="F486" s="268"/>
    </row>
    <row r="487" spans="6:6" x14ac:dyDescent="0.25">
      <c r="F487" s="268"/>
    </row>
    <row r="488" spans="6:6" x14ac:dyDescent="0.25">
      <c r="F488" s="268"/>
    </row>
    <row r="489" spans="6:6" x14ac:dyDescent="0.25">
      <c r="F489" s="268"/>
    </row>
    <row r="490" spans="6:6" x14ac:dyDescent="0.25">
      <c r="F490" s="268"/>
    </row>
    <row r="491" spans="6:6" x14ac:dyDescent="0.25">
      <c r="F491" s="268"/>
    </row>
    <row r="492" spans="6:6" x14ac:dyDescent="0.25">
      <c r="F492" s="268"/>
    </row>
    <row r="493" spans="6:6" x14ac:dyDescent="0.25">
      <c r="F493" s="268"/>
    </row>
    <row r="494" spans="6:6" x14ac:dyDescent="0.25">
      <c r="F494" s="268"/>
    </row>
    <row r="495" spans="6:6" x14ac:dyDescent="0.25">
      <c r="F495" s="268"/>
    </row>
    <row r="496" spans="6:6" x14ac:dyDescent="0.25">
      <c r="F496" s="268"/>
    </row>
    <row r="497" spans="6:6" x14ac:dyDescent="0.25">
      <c r="F497" s="268"/>
    </row>
    <row r="498" spans="6:6" x14ac:dyDescent="0.25">
      <c r="F498" s="268"/>
    </row>
    <row r="499" spans="6:6" x14ac:dyDescent="0.25">
      <c r="F499" s="268"/>
    </row>
    <row r="500" spans="6:6" x14ac:dyDescent="0.25">
      <c r="F500" s="268"/>
    </row>
    <row r="501" spans="6:6" x14ac:dyDescent="0.25">
      <c r="F501" s="268"/>
    </row>
    <row r="502" spans="6:6" x14ac:dyDescent="0.25">
      <c r="F502" s="268"/>
    </row>
    <row r="503" spans="6:6" x14ac:dyDescent="0.25">
      <c r="F503" s="268"/>
    </row>
    <row r="504" spans="6:6" x14ac:dyDescent="0.25">
      <c r="F504" s="268"/>
    </row>
    <row r="505" spans="6:6" x14ac:dyDescent="0.25">
      <c r="F505" s="268"/>
    </row>
    <row r="506" spans="6:6" x14ac:dyDescent="0.25">
      <c r="F506" s="268"/>
    </row>
    <row r="507" spans="6:6" x14ac:dyDescent="0.25">
      <c r="F507" s="268"/>
    </row>
    <row r="508" spans="6:6" x14ac:dyDescent="0.25">
      <c r="F508" s="268"/>
    </row>
    <row r="509" spans="6:6" x14ac:dyDescent="0.25">
      <c r="F509" s="268"/>
    </row>
    <row r="510" spans="6:6" x14ac:dyDescent="0.25">
      <c r="F510" s="268"/>
    </row>
    <row r="511" spans="6:6" x14ac:dyDescent="0.25">
      <c r="F511" s="268"/>
    </row>
    <row r="512" spans="6:6" x14ac:dyDescent="0.25">
      <c r="F512" s="268"/>
    </row>
    <row r="513" spans="6:6" x14ac:dyDescent="0.25">
      <c r="F513" s="268"/>
    </row>
    <row r="514" spans="6:6" x14ac:dyDescent="0.25">
      <c r="F514" s="268"/>
    </row>
    <row r="515" spans="6:6" x14ac:dyDescent="0.25">
      <c r="F515" s="268"/>
    </row>
    <row r="516" spans="6:6" x14ac:dyDescent="0.25">
      <c r="F516" s="268"/>
    </row>
    <row r="517" spans="6:6" x14ac:dyDescent="0.25">
      <c r="F517" s="268"/>
    </row>
    <row r="518" spans="6:6" x14ac:dyDescent="0.25">
      <c r="F518" s="268"/>
    </row>
    <row r="519" spans="6:6" x14ac:dyDescent="0.25">
      <c r="F519" s="268"/>
    </row>
    <row r="520" spans="6:6" x14ac:dyDescent="0.25">
      <c r="F520" s="268"/>
    </row>
    <row r="521" spans="6:6" x14ac:dyDescent="0.25">
      <c r="F521" s="268"/>
    </row>
    <row r="522" spans="6:6" x14ac:dyDescent="0.25">
      <c r="F522" s="268"/>
    </row>
    <row r="523" spans="6:6" x14ac:dyDescent="0.25">
      <c r="F523" s="268"/>
    </row>
    <row r="524" spans="6:6" x14ac:dyDescent="0.25">
      <c r="F524" s="268"/>
    </row>
    <row r="525" spans="6:6" x14ac:dyDescent="0.25">
      <c r="F525" s="268"/>
    </row>
    <row r="526" spans="6:6" x14ac:dyDescent="0.25">
      <c r="F526" s="268"/>
    </row>
    <row r="527" spans="6:6" x14ac:dyDescent="0.25">
      <c r="F527" s="268"/>
    </row>
    <row r="528" spans="6:6" x14ac:dyDescent="0.25">
      <c r="F528" s="268"/>
    </row>
    <row r="529" spans="6:6" x14ac:dyDescent="0.25">
      <c r="F529" s="268"/>
    </row>
    <row r="530" spans="6:6" x14ac:dyDescent="0.25">
      <c r="F530" s="268"/>
    </row>
    <row r="531" spans="6:6" x14ac:dyDescent="0.25">
      <c r="F531" s="268"/>
    </row>
    <row r="532" spans="6:6" x14ac:dyDescent="0.25">
      <c r="F532" s="268"/>
    </row>
    <row r="533" spans="6:6" x14ac:dyDescent="0.25">
      <c r="F533" s="268"/>
    </row>
    <row r="534" spans="6:6" x14ac:dyDescent="0.25">
      <c r="F534" s="268"/>
    </row>
    <row r="535" spans="6:6" x14ac:dyDescent="0.25">
      <c r="F535" s="268"/>
    </row>
    <row r="536" spans="6:6" x14ac:dyDescent="0.25">
      <c r="F536" s="268"/>
    </row>
    <row r="537" spans="6:6" x14ac:dyDescent="0.25">
      <c r="F537" s="268"/>
    </row>
    <row r="538" spans="6:6" x14ac:dyDescent="0.25">
      <c r="F538" s="268"/>
    </row>
    <row r="539" spans="6:6" x14ac:dyDescent="0.25">
      <c r="F539" s="268"/>
    </row>
    <row r="540" spans="6:6" x14ac:dyDescent="0.25">
      <c r="F540" s="268"/>
    </row>
    <row r="541" spans="6:6" x14ac:dyDescent="0.25">
      <c r="F541" s="268"/>
    </row>
    <row r="542" spans="6:6" x14ac:dyDescent="0.25">
      <c r="F542" s="268"/>
    </row>
    <row r="543" spans="6:6" x14ac:dyDescent="0.25">
      <c r="F543" s="268"/>
    </row>
    <row r="544" spans="6:6" x14ac:dyDescent="0.25">
      <c r="F544" s="268"/>
    </row>
    <row r="545" spans="6:6" x14ac:dyDescent="0.25">
      <c r="F545" s="268"/>
    </row>
    <row r="546" spans="6:6" x14ac:dyDescent="0.25">
      <c r="F546" s="268"/>
    </row>
    <row r="547" spans="6:6" x14ac:dyDescent="0.25">
      <c r="F547" s="268"/>
    </row>
    <row r="548" spans="6:6" x14ac:dyDescent="0.25">
      <c r="F548" s="268"/>
    </row>
    <row r="549" spans="6:6" x14ac:dyDescent="0.25">
      <c r="F549" s="268"/>
    </row>
    <row r="550" spans="6:6" x14ac:dyDescent="0.25">
      <c r="F550" s="268"/>
    </row>
    <row r="551" spans="6:6" x14ac:dyDescent="0.25">
      <c r="F551" s="268"/>
    </row>
    <row r="552" spans="6:6" x14ac:dyDescent="0.25">
      <c r="F552" s="268"/>
    </row>
    <row r="553" spans="6:6" x14ac:dyDescent="0.25">
      <c r="F553" s="268"/>
    </row>
    <row r="554" spans="6:6" x14ac:dyDescent="0.25">
      <c r="F554" s="268"/>
    </row>
    <row r="555" spans="6:6" x14ac:dyDescent="0.25">
      <c r="F555" s="268"/>
    </row>
    <row r="556" spans="6:6" x14ac:dyDescent="0.25">
      <c r="F556" s="268"/>
    </row>
    <row r="557" spans="6:6" x14ac:dyDescent="0.25">
      <c r="F557" s="268"/>
    </row>
    <row r="558" spans="6:6" x14ac:dyDescent="0.25">
      <c r="F558" s="268"/>
    </row>
    <row r="559" spans="6:6" x14ac:dyDescent="0.25">
      <c r="F559" s="268"/>
    </row>
    <row r="560" spans="6:6" x14ac:dyDescent="0.25">
      <c r="F560" s="268"/>
    </row>
    <row r="561" spans="6:6" x14ac:dyDescent="0.25">
      <c r="F561" s="268"/>
    </row>
    <row r="562" spans="6:6" x14ac:dyDescent="0.25">
      <c r="F562" s="268"/>
    </row>
    <row r="563" spans="6:6" x14ac:dyDescent="0.25">
      <c r="F563" s="268"/>
    </row>
    <row r="564" spans="6:6" x14ac:dyDescent="0.25">
      <c r="F564" s="268"/>
    </row>
    <row r="565" spans="6:6" x14ac:dyDescent="0.25">
      <c r="F565" s="268"/>
    </row>
    <row r="566" spans="6:6" x14ac:dyDescent="0.25">
      <c r="F566" s="268"/>
    </row>
    <row r="567" spans="6:6" x14ac:dyDescent="0.25">
      <c r="F567" s="268"/>
    </row>
    <row r="568" spans="6:6" x14ac:dyDescent="0.25">
      <c r="F568" s="268"/>
    </row>
    <row r="569" spans="6:6" x14ac:dyDescent="0.25">
      <c r="F569" s="268"/>
    </row>
    <row r="570" spans="6:6" x14ac:dyDescent="0.25">
      <c r="F570" s="268"/>
    </row>
    <row r="571" spans="6:6" x14ac:dyDescent="0.25">
      <c r="F571" s="268"/>
    </row>
    <row r="572" spans="6:6" x14ac:dyDescent="0.25">
      <c r="F572" s="268"/>
    </row>
    <row r="573" spans="6:6" x14ac:dyDescent="0.25">
      <c r="F573" s="268"/>
    </row>
    <row r="574" spans="6:6" x14ac:dyDescent="0.25">
      <c r="F574" s="268"/>
    </row>
    <row r="575" spans="6:6" x14ac:dyDescent="0.25">
      <c r="F575" s="268"/>
    </row>
    <row r="576" spans="6:6" x14ac:dyDescent="0.25">
      <c r="F576" s="268"/>
    </row>
    <row r="577" spans="6:6" x14ac:dyDescent="0.25">
      <c r="F577" s="268"/>
    </row>
    <row r="578" spans="6:6" x14ac:dyDescent="0.25">
      <c r="F578" s="268"/>
    </row>
    <row r="579" spans="6:6" x14ac:dyDescent="0.25">
      <c r="F579" s="268"/>
    </row>
    <row r="580" spans="6:6" x14ac:dyDescent="0.25">
      <c r="F580" s="268"/>
    </row>
    <row r="581" spans="6:6" x14ac:dyDescent="0.25">
      <c r="F581" s="268"/>
    </row>
    <row r="582" spans="6:6" x14ac:dyDescent="0.25">
      <c r="F582" s="268"/>
    </row>
    <row r="583" spans="6:6" x14ac:dyDescent="0.25">
      <c r="F583" s="268"/>
    </row>
    <row r="584" spans="6:6" x14ac:dyDescent="0.25">
      <c r="F584" s="268"/>
    </row>
    <row r="585" spans="6:6" x14ac:dyDescent="0.25">
      <c r="F585" s="268"/>
    </row>
    <row r="586" spans="6:6" x14ac:dyDescent="0.25">
      <c r="F586" s="268"/>
    </row>
    <row r="587" spans="6:6" x14ac:dyDescent="0.25">
      <c r="F587" s="268"/>
    </row>
    <row r="588" spans="6:6" x14ac:dyDescent="0.25">
      <c r="F588" s="268"/>
    </row>
    <row r="589" spans="6:6" x14ac:dyDescent="0.25">
      <c r="F589" s="268"/>
    </row>
    <row r="590" spans="6:6" x14ac:dyDescent="0.25">
      <c r="F590" s="268"/>
    </row>
    <row r="591" spans="6:6" x14ac:dyDescent="0.25">
      <c r="F591" s="268"/>
    </row>
    <row r="592" spans="6:6" x14ac:dyDescent="0.25">
      <c r="F592" s="268"/>
    </row>
    <row r="593" spans="6:6" x14ac:dyDescent="0.25">
      <c r="F593" s="268"/>
    </row>
    <row r="594" spans="6:6" x14ac:dyDescent="0.25">
      <c r="F594" s="268"/>
    </row>
    <row r="595" spans="6:6" x14ac:dyDescent="0.25">
      <c r="F595" s="268"/>
    </row>
    <row r="596" spans="6:6" x14ac:dyDescent="0.25">
      <c r="F596" s="268"/>
    </row>
    <row r="597" spans="6:6" x14ac:dyDescent="0.25">
      <c r="F597" s="268"/>
    </row>
    <row r="598" spans="6:6" x14ac:dyDescent="0.25">
      <c r="F598" s="268"/>
    </row>
    <row r="599" spans="6:6" x14ac:dyDescent="0.25">
      <c r="F599" s="268"/>
    </row>
    <row r="600" spans="6:6" x14ac:dyDescent="0.25">
      <c r="F600" s="268"/>
    </row>
    <row r="601" spans="6:6" x14ac:dyDescent="0.25">
      <c r="F601" s="268"/>
    </row>
    <row r="602" spans="6:6" x14ac:dyDescent="0.25">
      <c r="F602" s="268"/>
    </row>
    <row r="603" spans="6:6" x14ac:dyDescent="0.25">
      <c r="F603" s="268"/>
    </row>
    <row r="604" spans="6:6" x14ac:dyDescent="0.25">
      <c r="F604" s="268"/>
    </row>
    <row r="605" spans="6:6" x14ac:dyDescent="0.25">
      <c r="F605" s="268"/>
    </row>
    <row r="606" spans="6:6" x14ac:dyDescent="0.25">
      <c r="F606" s="268"/>
    </row>
    <row r="607" spans="6:6" x14ac:dyDescent="0.25">
      <c r="F607" s="268"/>
    </row>
    <row r="608" spans="6:6" x14ac:dyDescent="0.25">
      <c r="F608" s="268"/>
    </row>
    <row r="609" spans="6:6" x14ac:dyDescent="0.25">
      <c r="F609" s="268"/>
    </row>
    <row r="610" spans="6:6" x14ac:dyDescent="0.25">
      <c r="F610" s="268"/>
    </row>
    <row r="611" spans="6:6" x14ac:dyDescent="0.25">
      <c r="F611" s="268"/>
    </row>
    <row r="612" spans="6:6" x14ac:dyDescent="0.25">
      <c r="F612" s="268"/>
    </row>
    <row r="613" spans="6:6" x14ac:dyDescent="0.25">
      <c r="F613" s="268"/>
    </row>
    <row r="614" spans="6:6" x14ac:dyDescent="0.25">
      <c r="F614" s="268"/>
    </row>
    <row r="615" spans="6:6" x14ac:dyDescent="0.25">
      <c r="F615" s="268"/>
    </row>
    <row r="616" spans="6:6" x14ac:dyDescent="0.25">
      <c r="F616" s="268"/>
    </row>
    <row r="617" spans="6:6" x14ac:dyDescent="0.25">
      <c r="F617" s="268"/>
    </row>
    <row r="618" spans="6:6" x14ac:dyDescent="0.25">
      <c r="F618" s="268"/>
    </row>
    <row r="619" spans="6:6" x14ac:dyDescent="0.25">
      <c r="F619" s="268"/>
    </row>
    <row r="620" spans="6:6" x14ac:dyDescent="0.25">
      <c r="F620" s="268"/>
    </row>
    <row r="621" spans="6:6" x14ac:dyDescent="0.25">
      <c r="F621" s="268"/>
    </row>
    <row r="622" spans="6:6" x14ac:dyDescent="0.25">
      <c r="F622" s="268"/>
    </row>
    <row r="623" spans="6:6" x14ac:dyDescent="0.25">
      <c r="F623" s="268"/>
    </row>
    <row r="624" spans="6:6" x14ac:dyDescent="0.25">
      <c r="F624" s="268"/>
    </row>
    <row r="625" spans="6:6" x14ac:dyDescent="0.25">
      <c r="F625" s="268"/>
    </row>
    <row r="626" spans="6:6" x14ac:dyDescent="0.25">
      <c r="F626" s="268"/>
    </row>
    <row r="627" spans="6:6" x14ac:dyDescent="0.25">
      <c r="F627" s="268"/>
    </row>
    <row r="628" spans="6:6" x14ac:dyDescent="0.25">
      <c r="F628" s="268"/>
    </row>
    <row r="629" spans="6:6" x14ac:dyDescent="0.25">
      <c r="F629" s="268"/>
    </row>
    <row r="630" spans="6:6" x14ac:dyDescent="0.25">
      <c r="F630" s="268"/>
    </row>
    <row r="631" spans="6:6" x14ac:dyDescent="0.25">
      <c r="F631" s="268"/>
    </row>
    <row r="632" spans="6:6" x14ac:dyDescent="0.25">
      <c r="F632" s="268"/>
    </row>
    <row r="633" spans="6:6" x14ac:dyDescent="0.25">
      <c r="F633" s="268"/>
    </row>
    <row r="634" spans="6:6" x14ac:dyDescent="0.25">
      <c r="F634" s="268"/>
    </row>
    <row r="635" spans="6:6" x14ac:dyDescent="0.25">
      <c r="F635" s="268"/>
    </row>
    <row r="636" spans="6:6" x14ac:dyDescent="0.25">
      <c r="F636" s="268"/>
    </row>
    <row r="637" spans="6:6" x14ac:dyDescent="0.25">
      <c r="F637" s="268"/>
    </row>
    <row r="638" spans="6:6" x14ac:dyDescent="0.25">
      <c r="F638" s="268"/>
    </row>
    <row r="639" spans="6:6" x14ac:dyDescent="0.25">
      <c r="F639" s="268"/>
    </row>
    <row r="640" spans="6:6" x14ac:dyDescent="0.25">
      <c r="F640" s="268"/>
    </row>
    <row r="641" spans="6:6" x14ac:dyDescent="0.25">
      <c r="F641" s="268"/>
    </row>
    <row r="642" spans="6:6" x14ac:dyDescent="0.25">
      <c r="F642" s="268"/>
    </row>
    <row r="643" spans="6:6" x14ac:dyDescent="0.25">
      <c r="F643" s="268"/>
    </row>
    <row r="644" spans="6:6" x14ac:dyDescent="0.25">
      <c r="F644" s="268"/>
    </row>
    <row r="645" spans="6:6" x14ac:dyDescent="0.25">
      <c r="F645" s="268"/>
    </row>
    <row r="646" spans="6:6" x14ac:dyDescent="0.25">
      <c r="F646" s="268"/>
    </row>
    <row r="647" spans="6:6" x14ac:dyDescent="0.25">
      <c r="F647" s="268"/>
    </row>
    <row r="648" spans="6:6" x14ac:dyDescent="0.25">
      <c r="F648" s="268"/>
    </row>
    <row r="649" spans="6:6" x14ac:dyDescent="0.25">
      <c r="F649" s="268"/>
    </row>
    <row r="650" spans="6:6" x14ac:dyDescent="0.25">
      <c r="F650" s="268"/>
    </row>
    <row r="651" spans="6:6" x14ac:dyDescent="0.25">
      <c r="F651" s="268"/>
    </row>
    <row r="652" spans="6:6" x14ac:dyDescent="0.25">
      <c r="F652" s="268"/>
    </row>
    <row r="653" spans="6:6" x14ac:dyDescent="0.25">
      <c r="F653" s="268"/>
    </row>
    <row r="654" spans="6:6" x14ac:dyDescent="0.25">
      <c r="F654" s="268"/>
    </row>
    <row r="655" spans="6:6" x14ac:dyDescent="0.25">
      <c r="F655" s="268"/>
    </row>
    <row r="656" spans="6:6" x14ac:dyDescent="0.25">
      <c r="F656" s="268"/>
    </row>
    <row r="657" spans="6:6" x14ac:dyDescent="0.25">
      <c r="F657" s="268"/>
    </row>
    <row r="658" spans="6:6" x14ac:dyDescent="0.25">
      <c r="F658" s="268"/>
    </row>
    <row r="659" spans="6:6" x14ac:dyDescent="0.25">
      <c r="F659" s="268"/>
    </row>
    <row r="660" spans="6:6" x14ac:dyDescent="0.25">
      <c r="F660" s="268"/>
    </row>
    <row r="661" spans="6:6" x14ac:dyDescent="0.25">
      <c r="F661" s="268"/>
    </row>
    <row r="662" spans="6:6" x14ac:dyDescent="0.25">
      <c r="F662" s="268"/>
    </row>
    <row r="663" spans="6:6" x14ac:dyDescent="0.25">
      <c r="F663" s="268"/>
    </row>
    <row r="664" spans="6:6" x14ac:dyDescent="0.25">
      <c r="F664" s="268"/>
    </row>
    <row r="665" spans="6:6" x14ac:dyDescent="0.25">
      <c r="F665" s="268"/>
    </row>
    <row r="666" spans="6:6" x14ac:dyDescent="0.25">
      <c r="F666" s="268"/>
    </row>
    <row r="667" spans="6:6" x14ac:dyDescent="0.25">
      <c r="F667" s="268"/>
    </row>
    <row r="668" spans="6:6" x14ac:dyDescent="0.25">
      <c r="F668" s="268"/>
    </row>
    <row r="669" spans="6:6" x14ac:dyDescent="0.25">
      <c r="F669" s="268"/>
    </row>
    <row r="670" spans="6:6" x14ac:dyDescent="0.25">
      <c r="F670" s="268"/>
    </row>
    <row r="671" spans="6:6" x14ac:dyDescent="0.25">
      <c r="F671" s="268"/>
    </row>
    <row r="672" spans="6:6" x14ac:dyDescent="0.25">
      <c r="F672" s="268"/>
    </row>
    <row r="673" spans="6:6" x14ac:dyDescent="0.25">
      <c r="F673" s="268"/>
    </row>
    <row r="674" spans="6:6" x14ac:dyDescent="0.25">
      <c r="F674" s="268"/>
    </row>
    <row r="675" spans="6:6" x14ac:dyDescent="0.25">
      <c r="F675" s="268"/>
    </row>
    <row r="676" spans="6:6" x14ac:dyDescent="0.25">
      <c r="F676" s="268"/>
    </row>
    <row r="677" spans="6:6" x14ac:dyDescent="0.25">
      <c r="F677" s="268"/>
    </row>
    <row r="678" spans="6:6" x14ac:dyDescent="0.25">
      <c r="F678" s="268"/>
    </row>
    <row r="679" spans="6:6" x14ac:dyDescent="0.25">
      <c r="F679" s="268"/>
    </row>
    <row r="680" spans="6:6" x14ac:dyDescent="0.25">
      <c r="F680" s="268"/>
    </row>
    <row r="681" spans="6:6" x14ac:dyDescent="0.25">
      <c r="F681" s="268"/>
    </row>
    <row r="682" spans="6:6" x14ac:dyDescent="0.25">
      <c r="F682" s="268"/>
    </row>
    <row r="683" spans="6:6" x14ac:dyDescent="0.25">
      <c r="F683" s="268"/>
    </row>
    <row r="684" spans="6:6" x14ac:dyDescent="0.25">
      <c r="F684" s="268"/>
    </row>
    <row r="685" spans="6:6" x14ac:dyDescent="0.25">
      <c r="F685" s="268"/>
    </row>
    <row r="686" spans="6:6" x14ac:dyDescent="0.25">
      <c r="F686" s="268"/>
    </row>
    <row r="687" spans="6:6" x14ac:dyDescent="0.25">
      <c r="F687" s="268"/>
    </row>
    <row r="688" spans="6:6" x14ac:dyDescent="0.25">
      <c r="F688" s="268"/>
    </row>
    <row r="689" spans="6:6" x14ac:dyDescent="0.25">
      <c r="F689" s="268"/>
    </row>
    <row r="690" spans="6:6" x14ac:dyDescent="0.25">
      <c r="F690" s="268"/>
    </row>
    <row r="691" spans="6:6" x14ac:dyDescent="0.25">
      <c r="F691" s="268"/>
    </row>
    <row r="692" spans="6:6" x14ac:dyDescent="0.25">
      <c r="F692" s="268"/>
    </row>
    <row r="693" spans="6:6" x14ac:dyDescent="0.25">
      <c r="F693" s="268"/>
    </row>
    <row r="694" spans="6:6" x14ac:dyDescent="0.25">
      <c r="F694" s="268"/>
    </row>
    <row r="695" spans="6:6" x14ac:dyDescent="0.25">
      <c r="F695" s="268"/>
    </row>
    <row r="696" spans="6:6" x14ac:dyDescent="0.25">
      <c r="F696" s="268"/>
    </row>
    <row r="697" spans="6:6" x14ac:dyDescent="0.25">
      <c r="F697" s="268"/>
    </row>
    <row r="698" spans="6:6" x14ac:dyDescent="0.25">
      <c r="F698" s="268"/>
    </row>
    <row r="699" spans="6:6" x14ac:dyDescent="0.25">
      <c r="F699" s="268"/>
    </row>
    <row r="700" spans="6:6" x14ac:dyDescent="0.25">
      <c r="F700" s="268"/>
    </row>
    <row r="701" spans="6:6" x14ac:dyDescent="0.25">
      <c r="F701" s="268"/>
    </row>
    <row r="702" spans="6:6" x14ac:dyDescent="0.25">
      <c r="F702" s="268"/>
    </row>
    <row r="703" spans="6:6" x14ac:dyDescent="0.25">
      <c r="F703" s="268"/>
    </row>
    <row r="704" spans="6:6" x14ac:dyDescent="0.25">
      <c r="F704" s="268"/>
    </row>
    <row r="705" spans="6:6" x14ac:dyDescent="0.25">
      <c r="F705" s="268"/>
    </row>
    <row r="706" spans="6:6" x14ac:dyDescent="0.25">
      <c r="F706" s="268"/>
    </row>
    <row r="707" spans="6:6" x14ac:dyDescent="0.25">
      <c r="F707" s="268"/>
    </row>
    <row r="708" spans="6:6" x14ac:dyDescent="0.25">
      <c r="F708" s="268"/>
    </row>
    <row r="709" spans="6:6" x14ac:dyDescent="0.25">
      <c r="F709" s="268"/>
    </row>
    <row r="710" spans="6:6" x14ac:dyDescent="0.25">
      <c r="F710" s="268"/>
    </row>
    <row r="711" spans="6:6" x14ac:dyDescent="0.25">
      <c r="F711" s="268"/>
    </row>
    <row r="712" spans="6:6" x14ac:dyDescent="0.25">
      <c r="F712" s="268"/>
    </row>
    <row r="713" spans="6:6" x14ac:dyDescent="0.25">
      <c r="F713" s="268"/>
    </row>
    <row r="714" spans="6:6" x14ac:dyDescent="0.25">
      <c r="F714" s="268"/>
    </row>
    <row r="715" spans="6:6" x14ac:dyDescent="0.25">
      <c r="F715" s="268"/>
    </row>
    <row r="716" spans="6:6" x14ac:dyDescent="0.25">
      <c r="F716" s="268"/>
    </row>
    <row r="717" spans="6:6" x14ac:dyDescent="0.25">
      <c r="F717" s="268"/>
    </row>
    <row r="718" spans="6:6" x14ac:dyDescent="0.25">
      <c r="F718" s="268"/>
    </row>
    <row r="719" spans="6:6" x14ac:dyDescent="0.25">
      <c r="F719" s="268"/>
    </row>
    <row r="720" spans="6:6" x14ac:dyDescent="0.25">
      <c r="F720" s="268"/>
    </row>
    <row r="721" spans="6:6" x14ac:dyDescent="0.25">
      <c r="F721" s="268"/>
    </row>
    <row r="722" spans="6:6" x14ac:dyDescent="0.25">
      <c r="F722" s="268"/>
    </row>
    <row r="723" spans="6:6" x14ac:dyDescent="0.25">
      <c r="F723" s="268"/>
    </row>
    <row r="724" spans="6:6" x14ac:dyDescent="0.25">
      <c r="F724" s="268"/>
    </row>
    <row r="725" spans="6:6" x14ac:dyDescent="0.25">
      <c r="F725" s="268"/>
    </row>
    <row r="726" spans="6:6" x14ac:dyDescent="0.25">
      <c r="F726" s="268"/>
    </row>
    <row r="727" spans="6:6" x14ac:dyDescent="0.25">
      <c r="F727" s="268"/>
    </row>
    <row r="728" spans="6:6" x14ac:dyDescent="0.25">
      <c r="F728" s="268"/>
    </row>
    <row r="729" spans="6:6" x14ac:dyDescent="0.25">
      <c r="F729" s="268"/>
    </row>
    <row r="730" spans="6:6" x14ac:dyDescent="0.25">
      <c r="F730" s="268"/>
    </row>
    <row r="731" spans="6:6" x14ac:dyDescent="0.25">
      <c r="F731" s="268"/>
    </row>
    <row r="732" spans="6:6" x14ac:dyDescent="0.25">
      <c r="F732" s="268"/>
    </row>
    <row r="733" spans="6:6" x14ac:dyDescent="0.25">
      <c r="F733" s="268"/>
    </row>
    <row r="734" spans="6:6" x14ac:dyDescent="0.25">
      <c r="F734" s="268"/>
    </row>
    <row r="735" spans="6:6" x14ac:dyDescent="0.25">
      <c r="F735" s="268"/>
    </row>
    <row r="736" spans="6:6" x14ac:dyDescent="0.25">
      <c r="F736" s="268"/>
    </row>
    <row r="737" spans="6:6" x14ac:dyDescent="0.25">
      <c r="F737" s="268"/>
    </row>
    <row r="738" spans="6:6" x14ac:dyDescent="0.25">
      <c r="F738" s="268"/>
    </row>
    <row r="739" spans="6:6" x14ac:dyDescent="0.25">
      <c r="F739" s="268"/>
    </row>
    <row r="740" spans="6:6" x14ac:dyDescent="0.25">
      <c r="F740" s="268"/>
    </row>
    <row r="741" spans="6:6" x14ac:dyDescent="0.25">
      <c r="F741" s="268"/>
    </row>
    <row r="742" spans="6:6" x14ac:dyDescent="0.25">
      <c r="F742" s="268"/>
    </row>
    <row r="743" spans="6:6" x14ac:dyDescent="0.25">
      <c r="F743" s="268"/>
    </row>
    <row r="744" spans="6:6" x14ac:dyDescent="0.25">
      <c r="F744" s="268"/>
    </row>
    <row r="745" spans="6:6" x14ac:dyDescent="0.25">
      <c r="F745" s="268"/>
    </row>
    <row r="746" spans="6:6" x14ac:dyDescent="0.25">
      <c r="F746" s="268"/>
    </row>
    <row r="747" spans="6:6" x14ac:dyDescent="0.25">
      <c r="F747" s="268"/>
    </row>
    <row r="748" spans="6:6" x14ac:dyDescent="0.25">
      <c r="F748" s="268"/>
    </row>
    <row r="749" spans="6:6" x14ac:dyDescent="0.25">
      <c r="F749" s="268"/>
    </row>
    <row r="750" spans="6:6" x14ac:dyDescent="0.25">
      <c r="F750" s="268"/>
    </row>
    <row r="751" spans="6:6" x14ac:dyDescent="0.25">
      <c r="F751" s="268"/>
    </row>
    <row r="752" spans="6:6" x14ac:dyDescent="0.25">
      <c r="F752" s="268"/>
    </row>
    <row r="753" spans="6:6" x14ac:dyDescent="0.25">
      <c r="F753" s="268"/>
    </row>
    <row r="754" spans="6:6" x14ac:dyDescent="0.25">
      <c r="F754" s="268"/>
    </row>
    <row r="755" spans="6:6" x14ac:dyDescent="0.25">
      <c r="F755" s="268"/>
    </row>
    <row r="756" spans="6:6" x14ac:dyDescent="0.25">
      <c r="F756" s="268"/>
    </row>
    <row r="757" spans="6:6" x14ac:dyDescent="0.25">
      <c r="F757" s="268"/>
    </row>
    <row r="758" spans="6:6" x14ac:dyDescent="0.25">
      <c r="F758" s="268"/>
    </row>
    <row r="759" spans="6:6" x14ac:dyDescent="0.25">
      <c r="F759" s="268"/>
    </row>
    <row r="760" spans="6:6" x14ac:dyDescent="0.25">
      <c r="F760" s="268"/>
    </row>
    <row r="761" spans="6:6" x14ac:dyDescent="0.25">
      <c r="F761" s="268"/>
    </row>
    <row r="762" spans="6:6" x14ac:dyDescent="0.25">
      <c r="F762" s="268"/>
    </row>
    <row r="763" spans="6:6" x14ac:dyDescent="0.25">
      <c r="F763" s="268"/>
    </row>
    <row r="764" spans="6:6" x14ac:dyDescent="0.25">
      <c r="F764" s="268"/>
    </row>
    <row r="765" spans="6:6" x14ac:dyDescent="0.25">
      <c r="F765" s="268"/>
    </row>
    <row r="766" spans="6:6" x14ac:dyDescent="0.25">
      <c r="F766" s="268"/>
    </row>
    <row r="767" spans="6:6" x14ac:dyDescent="0.25">
      <c r="F767" s="268"/>
    </row>
    <row r="768" spans="6:6" x14ac:dyDescent="0.25">
      <c r="F768" s="268"/>
    </row>
    <row r="769" spans="6:6" x14ac:dyDescent="0.25">
      <c r="F769" s="268"/>
    </row>
    <row r="770" spans="6:6" x14ac:dyDescent="0.25">
      <c r="F770" s="268"/>
    </row>
    <row r="771" spans="6:6" x14ac:dyDescent="0.25">
      <c r="F771" s="268"/>
    </row>
    <row r="772" spans="6:6" x14ac:dyDescent="0.25">
      <c r="F772" s="268"/>
    </row>
    <row r="773" spans="6:6" x14ac:dyDescent="0.25">
      <c r="F773" s="268"/>
    </row>
    <row r="774" spans="6:6" x14ac:dyDescent="0.25">
      <c r="F774" s="268"/>
    </row>
    <row r="775" spans="6:6" x14ac:dyDescent="0.25">
      <c r="F775" s="268"/>
    </row>
    <row r="776" spans="6:6" x14ac:dyDescent="0.25">
      <c r="F776" s="268"/>
    </row>
    <row r="777" spans="6:6" x14ac:dyDescent="0.25">
      <c r="F777" s="268"/>
    </row>
    <row r="778" spans="6:6" x14ac:dyDescent="0.25">
      <c r="F778" s="268"/>
    </row>
    <row r="779" spans="6:6" x14ac:dyDescent="0.25">
      <c r="F779" s="268"/>
    </row>
    <row r="780" spans="6:6" x14ac:dyDescent="0.25">
      <c r="F780" s="268"/>
    </row>
    <row r="781" spans="6:6" x14ac:dyDescent="0.25">
      <c r="F781" s="268"/>
    </row>
    <row r="782" spans="6:6" x14ac:dyDescent="0.25">
      <c r="F782" s="268"/>
    </row>
    <row r="783" spans="6:6" x14ac:dyDescent="0.25">
      <c r="F783" s="268"/>
    </row>
    <row r="784" spans="6:6" x14ac:dyDescent="0.25">
      <c r="F784" s="268"/>
    </row>
    <row r="785" spans="6:6" x14ac:dyDescent="0.25">
      <c r="F785" s="268"/>
    </row>
    <row r="786" spans="6:6" x14ac:dyDescent="0.25">
      <c r="F786" s="268"/>
    </row>
    <row r="787" spans="6:6" x14ac:dyDescent="0.25">
      <c r="F787" s="268"/>
    </row>
    <row r="788" spans="6:6" x14ac:dyDescent="0.25">
      <c r="F788" s="268"/>
    </row>
    <row r="789" spans="6:6" x14ac:dyDescent="0.25">
      <c r="F789" s="268"/>
    </row>
    <row r="790" spans="6:6" x14ac:dyDescent="0.25">
      <c r="F790" s="268"/>
    </row>
    <row r="791" spans="6:6" x14ac:dyDescent="0.25">
      <c r="F791" s="268"/>
    </row>
    <row r="792" spans="6:6" x14ac:dyDescent="0.25">
      <c r="F792" s="268"/>
    </row>
    <row r="793" spans="6:6" x14ac:dyDescent="0.25">
      <c r="F793" s="268"/>
    </row>
    <row r="794" spans="6:6" x14ac:dyDescent="0.25">
      <c r="F794" s="268"/>
    </row>
    <row r="795" spans="6:6" x14ac:dyDescent="0.25">
      <c r="F795" s="268"/>
    </row>
    <row r="796" spans="6:6" x14ac:dyDescent="0.25">
      <c r="F796" s="268"/>
    </row>
    <row r="797" spans="6:6" x14ac:dyDescent="0.25">
      <c r="F797" s="268"/>
    </row>
    <row r="798" spans="6:6" x14ac:dyDescent="0.25">
      <c r="F798" s="268"/>
    </row>
    <row r="799" spans="6:6" x14ac:dyDescent="0.25">
      <c r="F799" s="268"/>
    </row>
    <row r="800" spans="6:6" x14ac:dyDescent="0.25">
      <c r="F800" s="268"/>
    </row>
    <row r="801" spans="6:6" x14ac:dyDescent="0.25">
      <c r="F801" s="268"/>
    </row>
    <row r="802" spans="6:6" x14ac:dyDescent="0.25">
      <c r="F802" s="268"/>
    </row>
    <row r="803" spans="6:6" x14ac:dyDescent="0.25">
      <c r="F803" s="268"/>
    </row>
    <row r="804" spans="6:6" x14ac:dyDescent="0.25">
      <c r="F804" s="268"/>
    </row>
    <row r="805" spans="6:6" x14ac:dyDescent="0.25">
      <c r="F805" s="268"/>
    </row>
    <row r="806" spans="6:6" x14ac:dyDescent="0.25">
      <c r="F806" s="268"/>
    </row>
    <row r="807" spans="6:6" x14ac:dyDescent="0.25">
      <c r="F807" s="268"/>
    </row>
    <row r="808" spans="6:6" x14ac:dyDescent="0.25">
      <c r="F808" s="268"/>
    </row>
    <row r="809" spans="6:6" x14ac:dyDescent="0.25">
      <c r="F809" s="268"/>
    </row>
    <row r="810" spans="6:6" x14ac:dyDescent="0.25">
      <c r="F810" s="268"/>
    </row>
    <row r="811" spans="6:6" x14ac:dyDescent="0.25">
      <c r="F811" s="268"/>
    </row>
    <row r="812" spans="6:6" x14ac:dyDescent="0.25">
      <c r="F812" s="268"/>
    </row>
    <row r="813" spans="6:6" x14ac:dyDescent="0.25">
      <c r="F813" s="268"/>
    </row>
    <row r="814" spans="6:6" x14ac:dyDescent="0.25">
      <c r="F814" s="268"/>
    </row>
    <row r="815" spans="6:6" x14ac:dyDescent="0.25">
      <c r="F815" s="268"/>
    </row>
    <row r="816" spans="6:6" x14ac:dyDescent="0.25">
      <c r="F816" s="268"/>
    </row>
    <row r="817" spans="6:6" x14ac:dyDescent="0.25">
      <c r="F817" s="268"/>
    </row>
    <row r="818" spans="6:6" x14ac:dyDescent="0.25">
      <c r="F818" s="268"/>
    </row>
    <row r="819" spans="6:6" x14ac:dyDescent="0.25">
      <c r="F819" s="268"/>
    </row>
    <row r="820" spans="6:6" x14ac:dyDescent="0.25">
      <c r="F820" s="268"/>
    </row>
    <row r="821" spans="6:6" x14ac:dyDescent="0.25">
      <c r="F821" s="268"/>
    </row>
    <row r="822" spans="6:6" x14ac:dyDescent="0.25">
      <c r="F822" s="268"/>
    </row>
    <row r="823" spans="6:6" x14ac:dyDescent="0.25">
      <c r="F823" s="268"/>
    </row>
    <row r="824" spans="6:6" x14ac:dyDescent="0.25">
      <c r="F824" s="268"/>
    </row>
    <row r="825" spans="6:6" x14ac:dyDescent="0.25">
      <c r="F825" s="268"/>
    </row>
    <row r="826" spans="6:6" x14ac:dyDescent="0.25">
      <c r="F826" s="268"/>
    </row>
    <row r="827" spans="6:6" x14ac:dyDescent="0.25">
      <c r="F827" s="268"/>
    </row>
    <row r="828" spans="6:6" x14ac:dyDescent="0.25">
      <c r="F828" s="268"/>
    </row>
    <row r="829" spans="6:6" x14ac:dyDescent="0.25">
      <c r="F829" s="268"/>
    </row>
    <row r="830" spans="6:6" x14ac:dyDescent="0.25">
      <c r="F830" s="268"/>
    </row>
    <row r="831" spans="6:6" x14ac:dyDescent="0.25">
      <c r="F831" s="268"/>
    </row>
    <row r="832" spans="6:6" x14ac:dyDescent="0.25">
      <c r="F832" s="268"/>
    </row>
    <row r="833" spans="6:6" x14ac:dyDescent="0.25">
      <c r="F833" s="268"/>
    </row>
    <row r="834" spans="6:6" x14ac:dyDescent="0.25">
      <c r="F834" s="268"/>
    </row>
    <row r="835" spans="6:6" x14ac:dyDescent="0.25">
      <c r="F835" s="268"/>
    </row>
    <row r="836" spans="6:6" x14ac:dyDescent="0.25">
      <c r="F836" s="268"/>
    </row>
    <row r="837" spans="6:6" x14ac:dyDescent="0.25">
      <c r="F837" s="268"/>
    </row>
    <row r="838" spans="6:6" x14ac:dyDescent="0.25">
      <c r="F838" s="268"/>
    </row>
    <row r="839" spans="6:6" x14ac:dyDescent="0.25">
      <c r="F839" s="268"/>
    </row>
    <row r="840" spans="6:6" x14ac:dyDescent="0.25">
      <c r="F840" s="268"/>
    </row>
    <row r="841" spans="6:6" x14ac:dyDescent="0.25">
      <c r="F841" s="268"/>
    </row>
    <row r="842" spans="6:6" x14ac:dyDescent="0.25">
      <c r="F842" s="268"/>
    </row>
    <row r="843" spans="6:6" x14ac:dyDescent="0.25">
      <c r="F843" s="268"/>
    </row>
    <row r="844" spans="6:6" x14ac:dyDescent="0.25">
      <c r="F844" s="268"/>
    </row>
    <row r="845" spans="6:6" x14ac:dyDescent="0.25">
      <c r="F845" s="268"/>
    </row>
    <row r="846" spans="6:6" x14ac:dyDescent="0.25">
      <c r="F846" s="268"/>
    </row>
    <row r="847" spans="6:6" x14ac:dyDescent="0.25">
      <c r="F847" s="268"/>
    </row>
    <row r="848" spans="6:6" x14ac:dyDescent="0.25">
      <c r="F848" s="268"/>
    </row>
    <row r="849" spans="6:6" x14ac:dyDescent="0.25">
      <c r="F849" s="268"/>
    </row>
    <row r="850" spans="6:6" x14ac:dyDescent="0.25">
      <c r="F850" s="268"/>
    </row>
    <row r="851" spans="6:6" x14ac:dyDescent="0.25">
      <c r="F851" s="268"/>
    </row>
    <row r="852" spans="6:6" x14ac:dyDescent="0.25">
      <c r="F852" s="268"/>
    </row>
    <row r="853" spans="6:6" x14ac:dyDescent="0.25">
      <c r="F853" s="268"/>
    </row>
    <row r="854" spans="6:6" x14ac:dyDescent="0.25">
      <c r="F854" s="268"/>
    </row>
    <row r="855" spans="6:6" x14ac:dyDescent="0.25">
      <c r="F855" s="268"/>
    </row>
    <row r="856" spans="6:6" x14ac:dyDescent="0.25">
      <c r="F856" s="268"/>
    </row>
    <row r="857" spans="6:6" x14ac:dyDescent="0.25">
      <c r="F857" s="268"/>
    </row>
    <row r="858" spans="6:6" x14ac:dyDescent="0.25">
      <c r="F858" s="268"/>
    </row>
    <row r="859" spans="6:6" x14ac:dyDescent="0.25">
      <c r="F859" s="268"/>
    </row>
    <row r="860" spans="6:6" x14ac:dyDescent="0.25">
      <c r="F860" s="268"/>
    </row>
    <row r="861" spans="6:6" x14ac:dyDescent="0.25">
      <c r="F861" s="268"/>
    </row>
    <row r="862" spans="6:6" x14ac:dyDescent="0.25">
      <c r="F862" s="268"/>
    </row>
    <row r="863" spans="6:6" x14ac:dyDescent="0.25">
      <c r="F863" s="268"/>
    </row>
    <row r="864" spans="6:6" x14ac:dyDescent="0.25">
      <c r="F864" s="268"/>
    </row>
    <row r="865" spans="6:6" x14ac:dyDescent="0.25">
      <c r="F865" s="268"/>
    </row>
    <row r="866" spans="6:6" x14ac:dyDescent="0.25">
      <c r="F866" s="268"/>
    </row>
    <row r="867" spans="6:6" x14ac:dyDescent="0.25">
      <c r="F867" s="268"/>
    </row>
    <row r="868" spans="6:6" x14ac:dyDescent="0.25">
      <c r="F868" s="268"/>
    </row>
    <row r="869" spans="6:6" x14ac:dyDescent="0.25">
      <c r="F869" s="268"/>
    </row>
    <row r="870" spans="6:6" x14ac:dyDescent="0.25">
      <c r="F870" s="268"/>
    </row>
    <row r="871" spans="6:6" x14ac:dyDescent="0.25">
      <c r="F871" s="268"/>
    </row>
    <row r="872" spans="6:6" x14ac:dyDescent="0.25">
      <c r="F872" s="268"/>
    </row>
    <row r="873" spans="6:6" x14ac:dyDescent="0.25">
      <c r="F873" s="268"/>
    </row>
    <row r="874" spans="6:6" x14ac:dyDescent="0.25">
      <c r="F874" s="268"/>
    </row>
    <row r="875" spans="6:6" x14ac:dyDescent="0.25">
      <c r="F875" s="268"/>
    </row>
    <row r="876" spans="6:6" x14ac:dyDescent="0.25">
      <c r="F876" s="268"/>
    </row>
    <row r="877" spans="6:6" x14ac:dyDescent="0.25">
      <c r="F877" s="268"/>
    </row>
    <row r="878" spans="6:6" x14ac:dyDescent="0.25">
      <c r="F878" s="268"/>
    </row>
    <row r="879" spans="6:6" x14ac:dyDescent="0.25">
      <c r="F879" s="268"/>
    </row>
    <row r="880" spans="6:6" x14ac:dyDescent="0.25">
      <c r="F880" s="268"/>
    </row>
    <row r="881" spans="6:6" x14ac:dyDescent="0.25">
      <c r="F881" s="268"/>
    </row>
    <row r="882" spans="6:6" x14ac:dyDescent="0.25">
      <c r="F882" s="268"/>
    </row>
    <row r="883" spans="6:6" x14ac:dyDescent="0.25">
      <c r="F883" s="268"/>
    </row>
    <row r="884" spans="6:6" x14ac:dyDescent="0.25">
      <c r="F884" s="268"/>
    </row>
    <row r="885" spans="6:6" x14ac:dyDescent="0.25">
      <c r="F885" s="268"/>
    </row>
    <row r="886" spans="6:6" x14ac:dyDescent="0.25">
      <c r="F886" s="268"/>
    </row>
    <row r="887" spans="6:6" x14ac:dyDescent="0.25">
      <c r="F887" s="268"/>
    </row>
    <row r="888" spans="6:6" x14ac:dyDescent="0.25">
      <c r="F888" s="268"/>
    </row>
    <row r="889" spans="6:6" x14ac:dyDescent="0.25">
      <c r="F889" s="268"/>
    </row>
    <row r="890" spans="6:6" x14ac:dyDescent="0.25">
      <c r="F890" s="268"/>
    </row>
    <row r="891" spans="6:6" x14ac:dyDescent="0.25">
      <c r="F891" s="268"/>
    </row>
    <row r="892" spans="6:6" x14ac:dyDescent="0.25">
      <c r="F892" s="268"/>
    </row>
    <row r="893" spans="6:6" x14ac:dyDescent="0.25">
      <c r="F893" s="268"/>
    </row>
    <row r="894" spans="6:6" x14ac:dyDescent="0.25">
      <c r="F894" s="268"/>
    </row>
    <row r="895" spans="6:6" x14ac:dyDescent="0.25">
      <c r="F895" s="268"/>
    </row>
    <row r="896" spans="6:6" x14ac:dyDescent="0.25">
      <c r="F896" s="268"/>
    </row>
    <row r="897" spans="6:6" x14ac:dyDescent="0.25">
      <c r="F897" s="268"/>
    </row>
    <row r="898" spans="6:6" x14ac:dyDescent="0.25">
      <c r="F898" s="268"/>
    </row>
    <row r="899" spans="6:6" x14ac:dyDescent="0.25">
      <c r="F899" s="268"/>
    </row>
    <row r="900" spans="6:6" x14ac:dyDescent="0.25">
      <c r="F900" s="268"/>
    </row>
    <row r="901" spans="6:6" x14ac:dyDescent="0.25">
      <c r="F901" s="268"/>
    </row>
    <row r="902" spans="6:6" x14ac:dyDescent="0.25">
      <c r="F902" s="268"/>
    </row>
    <row r="903" spans="6:6" x14ac:dyDescent="0.25">
      <c r="F903" s="268"/>
    </row>
    <row r="904" spans="6:6" x14ac:dyDescent="0.25">
      <c r="F904" s="268"/>
    </row>
    <row r="905" spans="6:6" x14ac:dyDescent="0.25">
      <c r="F905" s="268"/>
    </row>
    <row r="906" spans="6:6" x14ac:dyDescent="0.25">
      <c r="F906" s="268"/>
    </row>
    <row r="907" spans="6:6" x14ac:dyDescent="0.25">
      <c r="F907" s="268"/>
    </row>
    <row r="908" spans="6:6" x14ac:dyDescent="0.25">
      <c r="F908" s="268"/>
    </row>
    <row r="909" spans="6:6" x14ac:dyDescent="0.25">
      <c r="F909" s="268"/>
    </row>
    <row r="910" spans="6:6" x14ac:dyDescent="0.25">
      <c r="F910" s="268"/>
    </row>
    <row r="911" spans="6:6" x14ac:dyDescent="0.25">
      <c r="F911" s="268"/>
    </row>
    <row r="912" spans="6:6" x14ac:dyDescent="0.25">
      <c r="F912" s="268"/>
    </row>
    <row r="913" spans="6:6" x14ac:dyDescent="0.25">
      <c r="F913" s="268"/>
    </row>
    <row r="914" spans="6:6" x14ac:dyDescent="0.25">
      <c r="F914" s="268"/>
    </row>
    <row r="915" spans="6:6" x14ac:dyDescent="0.25">
      <c r="F915" s="268"/>
    </row>
    <row r="916" spans="6:6" x14ac:dyDescent="0.25">
      <c r="F916" s="268"/>
    </row>
    <row r="917" spans="6:6" x14ac:dyDescent="0.25">
      <c r="F917" s="268"/>
    </row>
    <row r="918" spans="6:6" x14ac:dyDescent="0.25">
      <c r="F918" s="268"/>
    </row>
    <row r="919" spans="6:6" x14ac:dyDescent="0.25">
      <c r="F919" s="268"/>
    </row>
    <row r="920" spans="6:6" x14ac:dyDescent="0.25">
      <c r="F920" s="268"/>
    </row>
    <row r="921" spans="6:6" x14ac:dyDescent="0.25">
      <c r="F921" s="268"/>
    </row>
    <row r="922" spans="6:6" x14ac:dyDescent="0.25">
      <c r="F922" s="268"/>
    </row>
    <row r="923" spans="6:6" x14ac:dyDescent="0.25">
      <c r="F923" s="268"/>
    </row>
    <row r="924" spans="6:6" x14ac:dyDescent="0.25">
      <c r="F924" s="268"/>
    </row>
    <row r="925" spans="6:6" x14ac:dyDescent="0.25">
      <c r="F925" s="268"/>
    </row>
    <row r="926" spans="6:6" x14ac:dyDescent="0.25">
      <c r="F926" s="268"/>
    </row>
    <row r="927" spans="6:6" x14ac:dyDescent="0.25">
      <c r="F927" s="268"/>
    </row>
    <row r="928" spans="6:6" x14ac:dyDescent="0.25">
      <c r="F928" s="268"/>
    </row>
    <row r="929" spans="6:6" x14ac:dyDescent="0.25">
      <c r="F929" s="268"/>
    </row>
    <row r="930" spans="6:6" x14ac:dyDescent="0.25">
      <c r="F930" s="268"/>
    </row>
    <row r="931" spans="6:6" x14ac:dyDescent="0.25">
      <c r="F931" s="268"/>
    </row>
    <row r="932" spans="6:6" x14ac:dyDescent="0.25">
      <c r="F932" s="268"/>
    </row>
    <row r="933" spans="6:6" x14ac:dyDescent="0.25">
      <c r="F933" s="268"/>
    </row>
    <row r="934" spans="6:6" x14ac:dyDescent="0.25">
      <c r="F934" s="268"/>
    </row>
    <row r="935" spans="6:6" x14ac:dyDescent="0.25">
      <c r="F935" s="268"/>
    </row>
    <row r="936" spans="6:6" x14ac:dyDescent="0.25">
      <c r="F936" s="268"/>
    </row>
    <row r="937" spans="6:6" x14ac:dyDescent="0.25">
      <c r="F937" s="268"/>
    </row>
    <row r="938" spans="6:6" x14ac:dyDescent="0.25">
      <c r="F938" s="268"/>
    </row>
    <row r="939" spans="6:6" x14ac:dyDescent="0.25">
      <c r="F939" s="268"/>
    </row>
    <row r="940" spans="6:6" x14ac:dyDescent="0.25">
      <c r="F940" s="268"/>
    </row>
    <row r="941" spans="6:6" x14ac:dyDescent="0.25">
      <c r="F941" s="268"/>
    </row>
    <row r="942" spans="6:6" x14ac:dyDescent="0.25">
      <c r="F942" s="268"/>
    </row>
    <row r="943" spans="6:6" x14ac:dyDescent="0.25">
      <c r="F943" s="268"/>
    </row>
    <row r="944" spans="6:6" x14ac:dyDescent="0.25">
      <c r="F944" s="268"/>
    </row>
    <row r="945" spans="6:6" x14ac:dyDescent="0.25">
      <c r="F945" s="268"/>
    </row>
    <row r="946" spans="6:6" x14ac:dyDescent="0.25">
      <c r="F946" s="268"/>
    </row>
    <row r="947" spans="6:6" x14ac:dyDescent="0.25">
      <c r="F947" s="268"/>
    </row>
    <row r="948" spans="6:6" x14ac:dyDescent="0.25">
      <c r="F948" s="268"/>
    </row>
    <row r="949" spans="6:6" x14ac:dyDescent="0.25">
      <c r="F949" s="268"/>
    </row>
    <row r="950" spans="6:6" x14ac:dyDescent="0.25">
      <c r="F950" s="268"/>
    </row>
    <row r="951" spans="6:6" x14ac:dyDescent="0.25">
      <c r="F951" s="268"/>
    </row>
    <row r="952" spans="6:6" x14ac:dyDescent="0.25">
      <c r="F952" s="268"/>
    </row>
    <row r="953" spans="6:6" x14ac:dyDescent="0.25">
      <c r="F953" s="268"/>
    </row>
    <row r="954" spans="6:6" x14ac:dyDescent="0.25">
      <c r="F954" s="268"/>
    </row>
    <row r="955" spans="6:6" x14ac:dyDescent="0.25">
      <c r="F955" s="268"/>
    </row>
    <row r="956" spans="6:6" x14ac:dyDescent="0.25">
      <c r="F956" s="268"/>
    </row>
    <row r="957" spans="6:6" x14ac:dyDescent="0.25">
      <c r="F957" s="268"/>
    </row>
    <row r="958" spans="6:6" x14ac:dyDescent="0.25">
      <c r="F958" s="268"/>
    </row>
    <row r="959" spans="6:6" x14ac:dyDescent="0.25">
      <c r="F959" s="268"/>
    </row>
    <row r="960" spans="6:6" x14ac:dyDescent="0.25">
      <c r="F960" s="268"/>
    </row>
    <row r="961" spans="6:6" x14ac:dyDescent="0.25">
      <c r="F961" s="268"/>
    </row>
    <row r="962" spans="6:6" x14ac:dyDescent="0.25">
      <c r="F962" s="268"/>
    </row>
    <row r="963" spans="6:6" x14ac:dyDescent="0.25">
      <c r="F963" s="268"/>
    </row>
    <row r="964" spans="6:6" x14ac:dyDescent="0.25">
      <c r="F964" s="268"/>
    </row>
    <row r="965" spans="6:6" x14ac:dyDescent="0.25">
      <c r="F965" s="268"/>
    </row>
    <row r="966" spans="6:6" x14ac:dyDescent="0.25">
      <c r="F966" s="268"/>
    </row>
    <row r="967" spans="6:6" x14ac:dyDescent="0.25">
      <c r="F967" s="268"/>
    </row>
    <row r="968" spans="6:6" x14ac:dyDescent="0.25">
      <c r="F968" s="268"/>
    </row>
    <row r="969" spans="6:6" x14ac:dyDescent="0.25">
      <c r="F969" s="268"/>
    </row>
    <row r="970" spans="6:6" x14ac:dyDescent="0.25">
      <c r="F970" s="268"/>
    </row>
    <row r="971" spans="6:6" x14ac:dyDescent="0.25">
      <c r="F971" s="268"/>
    </row>
    <row r="972" spans="6:6" x14ac:dyDescent="0.25">
      <c r="F972" s="268"/>
    </row>
    <row r="973" spans="6:6" x14ac:dyDescent="0.25">
      <c r="F973" s="268"/>
    </row>
    <row r="974" spans="6:6" x14ac:dyDescent="0.25">
      <c r="F974" s="268"/>
    </row>
    <row r="975" spans="6:6" x14ac:dyDescent="0.25">
      <c r="F975" s="268"/>
    </row>
    <row r="976" spans="6:6" x14ac:dyDescent="0.25">
      <c r="F976" s="268"/>
    </row>
    <row r="977" spans="6:6" x14ac:dyDescent="0.25">
      <c r="F977" s="268"/>
    </row>
    <row r="978" spans="6:6" x14ac:dyDescent="0.25">
      <c r="F978" s="268"/>
    </row>
    <row r="979" spans="6:6" x14ac:dyDescent="0.25">
      <c r="F979" s="268"/>
    </row>
    <row r="980" spans="6:6" x14ac:dyDescent="0.25">
      <c r="F980" s="268"/>
    </row>
    <row r="981" spans="6:6" x14ac:dyDescent="0.25">
      <c r="F981" s="268"/>
    </row>
    <row r="982" spans="6:6" x14ac:dyDescent="0.25">
      <c r="F982" s="268"/>
    </row>
    <row r="983" spans="6:6" x14ac:dyDescent="0.25">
      <c r="F983" s="268"/>
    </row>
    <row r="984" spans="6:6" x14ac:dyDescent="0.25">
      <c r="F984" s="268"/>
    </row>
    <row r="985" spans="6:6" x14ac:dyDescent="0.25">
      <c r="F985" s="268"/>
    </row>
    <row r="986" spans="6:6" x14ac:dyDescent="0.25">
      <c r="F986" s="268"/>
    </row>
    <row r="987" spans="6:6" x14ac:dyDescent="0.25">
      <c r="F987" s="268"/>
    </row>
    <row r="988" spans="6:6" x14ac:dyDescent="0.25">
      <c r="F988" s="268"/>
    </row>
    <row r="989" spans="6:6" x14ac:dyDescent="0.25">
      <c r="F989" s="268"/>
    </row>
    <row r="990" spans="6:6" x14ac:dyDescent="0.25">
      <c r="F990" s="268"/>
    </row>
    <row r="991" spans="6:6" x14ac:dyDescent="0.25">
      <c r="F991" s="268"/>
    </row>
    <row r="992" spans="6:6" x14ac:dyDescent="0.25">
      <c r="F992" s="268"/>
    </row>
    <row r="993" spans="6:6" x14ac:dyDescent="0.25">
      <c r="F993" s="268"/>
    </row>
    <row r="994" spans="6:6" x14ac:dyDescent="0.25">
      <c r="F994" s="268"/>
    </row>
    <row r="995" spans="6:6" x14ac:dyDescent="0.25">
      <c r="F995" s="268"/>
    </row>
    <row r="996" spans="6:6" x14ac:dyDescent="0.25">
      <c r="F996" s="268"/>
    </row>
    <row r="997" spans="6:6" x14ac:dyDescent="0.25">
      <c r="F997" s="268"/>
    </row>
    <row r="998" spans="6:6" x14ac:dyDescent="0.25">
      <c r="F998" s="268"/>
    </row>
    <row r="999" spans="6:6" x14ac:dyDescent="0.25">
      <c r="F999" s="268"/>
    </row>
    <row r="1000" spans="6:6" x14ac:dyDescent="0.25">
      <c r="F1000" s="268"/>
    </row>
    <row r="1001" spans="6:6" x14ac:dyDescent="0.25">
      <c r="F1001" s="268"/>
    </row>
    <row r="1002" spans="6:6" x14ac:dyDescent="0.25">
      <c r="F1002" s="268"/>
    </row>
    <row r="1003" spans="6:6" x14ac:dyDescent="0.25">
      <c r="F1003" s="268"/>
    </row>
    <row r="1004" spans="6:6" x14ac:dyDescent="0.25">
      <c r="F1004" s="268"/>
    </row>
    <row r="1005" spans="6:6" x14ac:dyDescent="0.25">
      <c r="F1005" s="268"/>
    </row>
    <row r="1006" spans="6:6" x14ac:dyDescent="0.25">
      <c r="F1006" s="268"/>
    </row>
    <row r="1007" spans="6:6" x14ac:dyDescent="0.25">
      <c r="F1007" s="268"/>
    </row>
    <row r="1008" spans="6:6" x14ac:dyDescent="0.25">
      <c r="F1008" s="268"/>
    </row>
    <row r="1009" spans="6:6" x14ac:dyDescent="0.25">
      <c r="F1009" s="268"/>
    </row>
    <row r="1010" spans="6:6" x14ac:dyDescent="0.25">
      <c r="F1010" s="268"/>
    </row>
    <row r="1011" spans="6:6" x14ac:dyDescent="0.25">
      <c r="F1011" s="268"/>
    </row>
    <row r="1012" spans="6:6" x14ac:dyDescent="0.25">
      <c r="F1012" s="268"/>
    </row>
    <row r="1013" spans="6:6" x14ac:dyDescent="0.25">
      <c r="F1013" s="268"/>
    </row>
    <row r="1014" spans="6:6" x14ac:dyDescent="0.25">
      <c r="F1014" s="268"/>
    </row>
    <row r="1015" spans="6:6" x14ac:dyDescent="0.25">
      <c r="F1015" s="268"/>
    </row>
    <row r="1016" spans="6:6" x14ac:dyDescent="0.25">
      <c r="F1016" s="268"/>
    </row>
    <row r="1017" spans="6:6" x14ac:dyDescent="0.25">
      <c r="F1017" s="268"/>
    </row>
    <row r="1018" spans="6:6" x14ac:dyDescent="0.25">
      <c r="F1018" s="268"/>
    </row>
    <row r="1019" spans="6:6" x14ac:dyDescent="0.25">
      <c r="F1019" s="268"/>
    </row>
    <row r="1020" spans="6:6" x14ac:dyDescent="0.25">
      <c r="F1020" s="268"/>
    </row>
    <row r="1021" spans="6:6" x14ac:dyDescent="0.25">
      <c r="F1021" s="268"/>
    </row>
    <row r="1022" spans="6:6" x14ac:dyDescent="0.25">
      <c r="F1022" s="268"/>
    </row>
    <row r="1023" spans="6:6" x14ac:dyDescent="0.25">
      <c r="F1023" s="268"/>
    </row>
    <row r="1024" spans="6:6" x14ac:dyDescent="0.25">
      <c r="F1024" s="268"/>
    </row>
    <row r="1025" spans="6:6" x14ac:dyDescent="0.25">
      <c r="F1025" s="268"/>
    </row>
    <row r="1026" spans="6:6" x14ac:dyDescent="0.25">
      <c r="F1026" s="268"/>
    </row>
    <row r="1027" spans="6:6" x14ac:dyDescent="0.25">
      <c r="F1027" s="268"/>
    </row>
    <row r="1028" spans="6:6" x14ac:dyDescent="0.25">
      <c r="F1028" s="268"/>
    </row>
    <row r="1029" spans="6:6" x14ac:dyDescent="0.25">
      <c r="F1029" s="268"/>
    </row>
    <row r="1030" spans="6:6" x14ac:dyDescent="0.25">
      <c r="F1030" s="268"/>
    </row>
    <row r="1031" spans="6:6" x14ac:dyDescent="0.25">
      <c r="F1031" s="268"/>
    </row>
    <row r="1032" spans="6:6" x14ac:dyDescent="0.25">
      <c r="F1032" s="268"/>
    </row>
    <row r="1033" spans="6:6" x14ac:dyDescent="0.25">
      <c r="F1033" s="268"/>
    </row>
    <row r="1034" spans="6:6" x14ac:dyDescent="0.25">
      <c r="F1034" s="268"/>
    </row>
    <row r="1035" spans="6:6" x14ac:dyDescent="0.25">
      <c r="F1035" s="268"/>
    </row>
    <row r="1036" spans="6:6" x14ac:dyDescent="0.25">
      <c r="F1036" s="268"/>
    </row>
    <row r="1037" spans="6:6" x14ac:dyDescent="0.25">
      <c r="F1037" s="268"/>
    </row>
    <row r="1038" spans="6:6" x14ac:dyDescent="0.25">
      <c r="F1038" s="268"/>
    </row>
    <row r="1039" spans="6:6" x14ac:dyDescent="0.25">
      <c r="F1039" s="268"/>
    </row>
    <row r="1040" spans="6:6" x14ac:dyDescent="0.25">
      <c r="F1040" s="268"/>
    </row>
    <row r="1041" spans="6:6" x14ac:dyDescent="0.25">
      <c r="F1041" s="268"/>
    </row>
    <row r="1042" spans="6:6" x14ac:dyDescent="0.25">
      <c r="F1042" s="268"/>
    </row>
    <row r="1043" spans="6:6" x14ac:dyDescent="0.25">
      <c r="F1043" s="268"/>
    </row>
    <row r="1044" spans="6:6" x14ac:dyDescent="0.25">
      <c r="F1044" s="268"/>
    </row>
    <row r="1045" spans="6:6" x14ac:dyDescent="0.25">
      <c r="F1045" s="268"/>
    </row>
    <row r="1046" spans="6:6" x14ac:dyDescent="0.25">
      <c r="F1046" s="268"/>
    </row>
    <row r="1047" spans="6:6" x14ac:dyDescent="0.25">
      <c r="F1047" s="268"/>
    </row>
    <row r="1048" spans="6:6" x14ac:dyDescent="0.25">
      <c r="F1048" s="268"/>
    </row>
    <row r="1049" spans="6:6" x14ac:dyDescent="0.25">
      <c r="F1049" s="268"/>
    </row>
    <row r="1050" spans="6:6" x14ac:dyDescent="0.25">
      <c r="F1050" s="268"/>
    </row>
    <row r="1051" spans="6:6" x14ac:dyDescent="0.25">
      <c r="F1051" s="268"/>
    </row>
    <row r="1052" spans="6:6" x14ac:dyDescent="0.25">
      <c r="F1052" s="268"/>
    </row>
    <row r="1053" spans="6:6" x14ac:dyDescent="0.25">
      <c r="F1053" s="268"/>
    </row>
    <row r="1054" spans="6:6" x14ac:dyDescent="0.25">
      <c r="F1054" s="268"/>
    </row>
    <row r="1055" spans="6:6" x14ac:dyDescent="0.25">
      <c r="F1055" s="268"/>
    </row>
    <row r="1056" spans="6:6" x14ac:dyDescent="0.25">
      <c r="F1056" s="268"/>
    </row>
    <row r="1057" spans="6:6" x14ac:dyDescent="0.25">
      <c r="F1057" s="268"/>
    </row>
    <row r="1058" spans="6:6" x14ac:dyDescent="0.25">
      <c r="F1058" s="268"/>
    </row>
    <row r="1059" spans="6:6" x14ac:dyDescent="0.25">
      <c r="F1059" s="268"/>
    </row>
    <row r="1060" spans="6:6" x14ac:dyDescent="0.25">
      <c r="F1060" s="268"/>
    </row>
    <row r="1061" spans="6:6" x14ac:dyDescent="0.25">
      <c r="F1061" s="268"/>
    </row>
    <row r="1062" spans="6:6" x14ac:dyDescent="0.25">
      <c r="F1062" s="268"/>
    </row>
    <row r="1063" spans="6:6" x14ac:dyDescent="0.25">
      <c r="F1063" s="268"/>
    </row>
    <row r="1064" spans="6:6" x14ac:dyDescent="0.25">
      <c r="F1064" s="268"/>
    </row>
    <row r="1065" spans="6:6" x14ac:dyDescent="0.25">
      <c r="F1065" s="268"/>
    </row>
    <row r="1066" spans="6:6" x14ac:dyDescent="0.25">
      <c r="F1066" s="268"/>
    </row>
    <row r="1067" spans="6:6" x14ac:dyDescent="0.25">
      <c r="F1067" s="268"/>
    </row>
    <row r="1068" spans="6:6" x14ac:dyDescent="0.25">
      <c r="F1068" s="268"/>
    </row>
    <row r="1069" spans="6:6" x14ac:dyDescent="0.25">
      <c r="F1069" s="268"/>
    </row>
    <row r="1070" spans="6:6" x14ac:dyDescent="0.25">
      <c r="F1070" s="268"/>
    </row>
    <row r="1071" spans="6:6" x14ac:dyDescent="0.25">
      <c r="F1071" s="268"/>
    </row>
    <row r="1072" spans="6:6" x14ac:dyDescent="0.25">
      <c r="F1072" s="268"/>
    </row>
    <row r="1073" spans="6:6" x14ac:dyDescent="0.25">
      <c r="F1073" s="268"/>
    </row>
    <row r="1074" spans="6:6" x14ac:dyDescent="0.25">
      <c r="F1074" s="268"/>
    </row>
    <row r="1075" spans="6:6" x14ac:dyDescent="0.25">
      <c r="F1075" s="268"/>
    </row>
    <row r="1076" spans="6:6" x14ac:dyDescent="0.25">
      <c r="F1076" s="268"/>
    </row>
    <row r="1077" spans="6:6" x14ac:dyDescent="0.25">
      <c r="F1077" s="268"/>
    </row>
    <row r="1078" spans="6:6" x14ac:dyDescent="0.25">
      <c r="F1078" s="268"/>
    </row>
    <row r="1079" spans="6:6" x14ac:dyDescent="0.25">
      <c r="F1079" s="268"/>
    </row>
    <row r="1080" spans="6:6" x14ac:dyDescent="0.25">
      <c r="F1080" s="268"/>
    </row>
    <row r="1081" spans="6:6" x14ac:dyDescent="0.25">
      <c r="F1081" s="268"/>
    </row>
    <row r="1082" spans="6:6" x14ac:dyDescent="0.25">
      <c r="F1082" s="268"/>
    </row>
    <row r="1083" spans="6:6" x14ac:dyDescent="0.25">
      <c r="F1083" s="268"/>
    </row>
    <row r="1084" spans="6:6" x14ac:dyDescent="0.25">
      <c r="F1084" s="268"/>
    </row>
    <row r="1085" spans="6:6" x14ac:dyDescent="0.25">
      <c r="F1085" s="268"/>
    </row>
    <row r="1086" spans="6:6" x14ac:dyDescent="0.25">
      <c r="F1086" s="268"/>
    </row>
    <row r="1087" spans="6:6" x14ac:dyDescent="0.25">
      <c r="F1087" s="268"/>
    </row>
    <row r="1088" spans="6:6" x14ac:dyDescent="0.25">
      <c r="F1088" s="268"/>
    </row>
    <row r="1089" spans="6:6" x14ac:dyDescent="0.25">
      <c r="F1089" s="268"/>
    </row>
    <row r="1090" spans="6:6" x14ac:dyDescent="0.25">
      <c r="F1090" s="268"/>
    </row>
    <row r="1091" spans="6:6" x14ac:dyDescent="0.25">
      <c r="F1091" s="268"/>
    </row>
    <row r="1092" spans="6:6" x14ac:dyDescent="0.25">
      <c r="F1092" s="268"/>
    </row>
    <row r="1093" spans="6:6" x14ac:dyDescent="0.25">
      <c r="F1093" s="268"/>
    </row>
    <row r="1094" spans="6:6" x14ac:dyDescent="0.25">
      <c r="F1094" s="268"/>
    </row>
    <row r="1095" spans="6:6" x14ac:dyDescent="0.25">
      <c r="F1095" s="268"/>
    </row>
    <row r="1096" spans="6:6" x14ac:dyDescent="0.25">
      <c r="F1096" s="268"/>
    </row>
    <row r="1097" spans="6:6" x14ac:dyDescent="0.25">
      <c r="F1097" s="268"/>
    </row>
    <row r="1098" spans="6:6" x14ac:dyDescent="0.25">
      <c r="F1098" s="268"/>
    </row>
    <row r="1099" spans="6:6" x14ac:dyDescent="0.25">
      <c r="F1099" s="268"/>
    </row>
    <row r="1100" spans="6:6" x14ac:dyDescent="0.25">
      <c r="F1100" s="268"/>
    </row>
    <row r="1101" spans="6:6" x14ac:dyDescent="0.25">
      <c r="F1101" s="268"/>
    </row>
    <row r="1102" spans="6:6" x14ac:dyDescent="0.25">
      <c r="F1102" s="268"/>
    </row>
    <row r="1103" spans="6:6" x14ac:dyDescent="0.25">
      <c r="F1103" s="268"/>
    </row>
    <row r="1104" spans="6:6" x14ac:dyDescent="0.25">
      <c r="F1104" s="268"/>
    </row>
    <row r="1105" spans="6:6" x14ac:dyDescent="0.25">
      <c r="F1105" s="268"/>
    </row>
    <row r="1106" spans="6:6" x14ac:dyDescent="0.25">
      <c r="F1106" s="268"/>
    </row>
    <row r="1107" spans="6:6" x14ac:dyDescent="0.25">
      <c r="F1107" s="268"/>
    </row>
    <row r="1108" spans="6:6" x14ac:dyDescent="0.25">
      <c r="F1108" s="268"/>
    </row>
    <row r="1109" spans="6:6" x14ac:dyDescent="0.25">
      <c r="F1109" s="268"/>
    </row>
    <row r="1110" spans="6:6" x14ac:dyDescent="0.25">
      <c r="F1110" s="268"/>
    </row>
    <row r="1111" spans="6:6" x14ac:dyDescent="0.25">
      <c r="F1111" s="268"/>
    </row>
    <row r="1112" spans="6:6" x14ac:dyDescent="0.25">
      <c r="F1112" s="268"/>
    </row>
    <row r="1113" spans="6:6" x14ac:dyDescent="0.25">
      <c r="F1113" s="268"/>
    </row>
    <row r="1114" spans="6:6" x14ac:dyDescent="0.25">
      <c r="F1114" s="268"/>
    </row>
    <row r="1115" spans="6:6" x14ac:dyDescent="0.25">
      <c r="F1115" s="268"/>
    </row>
    <row r="1116" spans="6:6" x14ac:dyDescent="0.25">
      <c r="F1116" s="268"/>
    </row>
    <row r="1117" spans="6:6" x14ac:dyDescent="0.25">
      <c r="F1117" s="268"/>
    </row>
    <row r="1118" spans="6:6" x14ac:dyDescent="0.25">
      <c r="F1118" s="268"/>
    </row>
    <row r="1119" spans="6:6" x14ac:dyDescent="0.25">
      <c r="F1119" s="268"/>
    </row>
    <row r="1120" spans="6:6" x14ac:dyDescent="0.25">
      <c r="F1120" s="268"/>
    </row>
    <row r="1121" spans="6:6" x14ac:dyDescent="0.25">
      <c r="F1121" s="268"/>
    </row>
    <row r="1122" spans="6:6" x14ac:dyDescent="0.25">
      <c r="F1122" s="268"/>
    </row>
    <row r="1123" spans="6:6" x14ac:dyDescent="0.25">
      <c r="F1123" s="268"/>
    </row>
    <row r="1124" spans="6:6" x14ac:dyDescent="0.25">
      <c r="F1124" s="268"/>
    </row>
    <row r="1125" spans="6:6" x14ac:dyDescent="0.25">
      <c r="F1125" s="268"/>
    </row>
    <row r="1126" spans="6:6" x14ac:dyDescent="0.25">
      <c r="F1126" s="268"/>
    </row>
    <row r="1127" spans="6:6" x14ac:dyDescent="0.25">
      <c r="F1127" s="268"/>
    </row>
    <row r="1128" spans="6:6" x14ac:dyDescent="0.25">
      <c r="F1128" s="268"/>
    </row>
    <row r="1129" spans="6:6" x14ac:dyDescent="0.25">
      <c r="F1129" s="268"/>
    </row>
    <row r="1130" spans="6:6" x14ac:dyDescent="0.25">
      <c r="F1130" s="268"/>
    </row>
    <row r="1131" spans="6:6" x14ac:dyDescent="0.25">
      <c r="F1131" s="268"/>
    </row>
    <row r="1132" spans="6:6" x14ac:dyDescent="0.25">
      <c r="F1132" s="268"/>
    </row>
    <row r="1133" spans="6:6" x14ac:dyDescent="0.25">
      <c r="F1133" s="268"/>
    </row>
    <row r="1134" spans="6:6" x14ac:dyDescent="0.25">
      <c r="F1134" s="268"/>
    </row>
    <row r="1135" spans="6:6" x14ac:dyDescent="0.25">
      <c r="F1135" s="268"/>
    </row>
    <row r="1136" spans="6:6" x14ac:dyDescent="0.25">
      <c r="F1136" s="268"/>
    </row>
    <row r="1137" spans="6:6" x14ac:dyDescent="0.25">
      <c r="F1137" s="268"/>
    </row>
    <row r="1138" spans="6:6" x14ac:dyDescent="0.25">
      <c r="F1138" s="268"/>
    </row>
    <row r="1139" spans="6:6" x14ac:dyDescent="0.25">
      <c r="F1139" s="268"/>
    </row>
    <row r="1140" spans="6:6" x14ac:dyDescent="0.25">
      <c r="F1140" s="268"/>
    </row>
    <row r="1141" spans="6:6" x14ac:dyDescent="0.25">
      <c r="F1141" s="268"/>
    </row>
    <row r="1142" spans="6:6" x14ac:dyDescent="0.25">
      <c r="F1142" s="268"/>
    </row>
    <row r="1143" spans="6:6" x14ac:dyDescent="0.25">
      <c r="F1143" s="268"/>
    </row>
    <row r="1144" spans="6:6" x14ac:dyDescent="0.25">
      <c r="F1144" s="268"/>
    </row>
    <row r="1145" spans="6:6" x14ac:dyDescent="0.25">
      <c r="F1145" s="268"/>
    </row>
    <row r="1146" spans="6:6" x14ac:dyDescent="0.25">
      <c r="F1146" s="268"/>
    </row>
    <row r="1147" spans="6:6" x14ac:dyDescent="0.25">
      <c r="F1147" s="268"/>
    </row>
    <row r="1148" spans="6:6" x14ac:dyDescent="0.25">
      <c r="F1148" s="268"/>
    </row>
    <row r="1149" spans="6:6" x14ac:dyDescent="0.25">
      <c r="F1149" s="268"/>
    </row>
    <row r="1150" spans="6:6" x14ac:dyDescent="0.25">
      <c r="F1150" s="268"/>
    </row>
    <row r="1151" spans="6:6" x14ac:dyDescent="0.25">
      <c r="F1151" s="268"/>
    </row>
    <row r="1152" spans="6:6" x14ac:dyDescent="0.25">
      <c r="F1152" s="268"/>
    </row>
    <row r="1153" spans="6:6" x14ac:dyDescent="0.25">
      <c r="F1153" s="268"/>
    </row>
    <row r="1154" spans="6:6" x14ac:dyDescent="0.25">
      <c r="F1154" s="268"/>
    </row>
    <row r="1155" spans="6:6" x14ac:dyDescent="0.25">
      <c r="F1155" s="268"/>
    </row>
    <row r="1156" spans="6:6" x14ac:dyDescent="0.25">
      <c r="F1156" s="268"/>
    </row>
    <row r="1157" spans="6:6" x14ac:dyDescent="0.25">
      <c r="F1157" s="268"/>
    </row>
    <row r="1158" spans="6:6" x14ac:dyDescent="0.25">
      <c r="F1158" s="268"/>
    </row>
    <row r="1159" spans="6:6" x14ac:dyDescent="0.25">
      <c r="F1159" s="268"/>
    </row>
    <row r="1160" spans="6:6" x14ac:dyDescent="0.25">
      <c r="F1160" s="268"/>
    </row>
    <row r="1161" spans="6:6" x14ac:dyDescent="0.25">
      <c r="F1161" s="268"/>
    </row>
    <row r="1162" spans="6:6" x14ac:dyDescent="0.25">
      <c r="F1162" s="268"/>
    </row>
    <row r="1163" spans="6:6" x14ac:dyDescent="0.25">
      <c r="F1163" s="268"/>
    </row>
    <row r="1164" spans="6:6" x14ac:dyDescent="0.25">
      <c r="F1164" s="268"/>
    </row>
    <row r="1165" spans="6:6" x14ac:dyDescent="0.25">
      <c r="F1165" s="268"/>
    </row>
    <row r="1166" spans="6:6" x14ac:dyDescent="0.25">
      <c r="F1166" s="268"/>
    </row>
    <row r="1167" spans="6:6" x14ac:dyDescent="0.25">
      <c r="F1167" s="268"/>
    </row>
    <row r="1168" spans="6:6" x14ac:dyDescent="0.25">
      <c r="F1168" s="268"/>
    </row>
    <row r="1169" spans="6:6" x14ac:dyDescent="0.25">
      <c r="F1169" s="268"/>
    </row>
    <row r="1170" spans="6:6" x14ac:dyDescent="0.25">
      <c r="F1170" s="268"/>
    </row>
    <row r="1171" spans="6:6" x14ac:dyDescent="0.25">
      <c r="F1171" s="268"/>
    </row>
    <row r="1172" spans="6:6" x14ac:dyDescent="0.25">
      <c r="F1172" s="268"/>
    </row>
    <row r="1173" spans="6:6" x14ac:dyDescent="0.25">
      <c r="F1173" s="268"/>
    </row>
    <row r="1174" spans="6:6" x14ac:dyDescent="0.25">
      <c r="F1174" s="268"/>
    </row>
    <row r="1175" spans="6:6" x14ac:dyDescent="0.25">
      <c r="F1175" s="268"/>
    </row>
    <row r="1176" spans="6:6" x14ac:dyDescent="0.25">
      <c r="F1176" s="268"/>
    </row>
    <row r="1177" spans="6:6" x14ac:dyDescent="0.25">
      <c r="F1177" s="268"/>
    </row>
    <row r="1178" spans="6:6" x14ac:dyDescent="0.25">
      <c r="F1178" s="268"/>
    </row>
    <row r="1179" spans="6:6" x14ac:dyDescent="0.25">
      <c r="F1179" s="268"/>
    </row>
    <row r="1180" spans="6:6" x14ac:dyDescent="0.25">
      <c r="F1180" s="268"/>
    </row>
    <row r="1181" spans="6:6" x14ac:dyDescent="0.25">
      <c r="F1181" s="268"/>
    </row>
    <row r="1182" spans="6:6" x14ac:dyDescent="0.25">
      <c r="F1182" s="268"/>
    </row>
    <row r="1183" spans="6:6" x14ac:dyDescent="0.25">
      <c r="F1183" s="268"/>
    </row>
    <row r="1184" spans="6:6" x14ac:dyDescent="0.25">
      <c r="F1184" s="268"/>
    </row>
    <row r="1185" spans="6:6" x14ac:dyDescent="0.25">
      <c r="F1185" s="268"/>
    </row>
    <row r="1186" spans="6:6" x14ac:dyDescent="0.25">
      <c r="F1186" s="268"/>
    </row>
    <row r="1187" spans="6:6" x14ac:dyDescent="0.25">
      <c r="F1187" s="268"/>
    </row>
    <row r="1188" spans="6:6" x14ac:dyDescent="0.25">
      <c r="F1188" s="268"/>
    </row>
    <row r="1189" spans="6:6" x14ac:dyDescent="0.25">
      <c r="F1189" s="268"/>
    </row>
    <row r="1190" spans="6:6" x14ac:dyDescent="0.25">
      <c r="F1190" s="268"/>
    </row>
    <row r="1191" spans="6:6" x14ac:dyDescent="0.25">
      <c r="F1191" s="268"/>
    </row>
    <row r="1192" spans="6:6" x14ac:dyDescent="0.25">
      <c r="F1192" s="268"/>
    </row>
    <row r="1193" spans="6:6" x14ac:dyDescent="0.25">
      <c r="F1193" s="268"/>
    </row>
    <row r="1194" spans="6:6" x14ac:dyDescent="0.25">
      <c r="F1194" s="268"/>
    </row>
    <row r="1195" spans="6:6" x14ac:dyDescent="0.25">
      <c r="F1195" s="268"/>
    </row>
    <row r="1196" spans="6:6" x14ac:dyDescent="0.25">
      <c r="F1196" s="268"/>
    </row>
    <row r="1197" spans="6:6" x14ac:dyDescent="0.25">
      <c r="F1197" s="268"/>
    </row>
    <row r="1198" spans="6:6" x14ac:dyDescent="0.25">
      <c r="F1198" s="268"/>
    </row>
    <row r="1199" spans="6:6" x14ac:dyDescent="0.25">
      <c r="F1199" s="268"/>
    </row>
    <row r="1200" spans="6:6" x14ac:dyDescent="0.25">
      <c r="F1200" s="268"/>
    </row>
    <row r="1201" spans="6:6" x14ac:dyDescent="0.25">
      <c r="F1201" s="268"/>
    </row>
    <row r="1202" spans="6:6" x14ac:dyDescent="0.25">
      <c r="F1202" s="268"/>
    </row>
    <row r="1203" spans="6:6" x14ac:dyDescent="0.25">
      <c r="F1203" s="268"/>
    </row>
    <row r="1204" spans="6:6" x14ac:dyDescent="0.25">
      <c r="F1204" s="268"/>
    </row>
    <row r="1205" spans="6:6" x14ac:dyDescent="0.25">
      <c r="F1205" s="268"/>
    </row>
    <row r="1206" spans="6:6" x14ac:dyDescent="0.25">
      <c r="F1206" s="268"/>
    </row>
    <row r="1207" spans="6:6" x14ac:dyDescent="0.25">
      <c r="F1207" s="268"/>
    </row>
    <row r="1208" spans="6:6" x14ac:dyDescent="0.25">
      <c r="F1208" s="268"/>
    </row>
    <row r="1209" spans="6:6" x14ac:dyDescent="0.25">
      <c r="F1209" s="268"/>
    </row>
    <row r="1210" spans="6:6" x14ac:dyDescent="0.25">
      <c r="F1210" s="268"/>
    </row>
    <row r="1211" spans="6:6" x14ac:dyDescent="0.25">
      <c r="F1211" s="268"/>
    </row>
    <row r="1212" spans="6:6" x14ac:dyDescent="0.25">
      <c r="F1212" s="268"/>
    </row>
    <row r="1213" spans="6:6" x14ac:dyDescent="0.25">
      <c r="F1213" s="268"/>
    </row>
    <row r="1214" spans="6:6" x14ac:dyDescent="0.25">
      <c r="F1214" s="268"/>
    </row>
    <row r="1215" spans="6:6" x14ac:dyDescent="0.25">
      <c r="F1215" s="268"/>
    </row>
    <row r="1216" spans="6:6" x14ac:dyDescent="0.25">
      <c r="F1216" s="268"/>
    </row>
    <row r="1217" spans="6:6" x14ac:dyDescent="0.25">
      <c r="F1217" s="268"/>
    </row>
    <row r="1218" spans="6:6" x14ac:dyDescent="0.25">
      <c r="F1218" s="268"/>
    </row>
    <row r="1219" spans="6:6" x14ac:dyDescent="0.25">
      <c r="F1219" s="268"/>
    </row>
    <row r="1220" spans="6:6" x14ac:dyDescent="0.25">
      <c r="F1220" s="268"/>
    </row>
    <row r="1221" spans="6:6" x14ac:dyDescent="0.25">
      <c r="F1221" s="268"/>
    </row>
    <row r="1222" spans="6:6" x14ac:dyDescent="0.25">
      <c r="F1222" s="268"/>
    </row>
    <row r="1223" spans="6:6" x14ac:dyDescent="0.25">
      <c r="F1223" s="268"/>
    </row>
    <row r="1224" spans="6:6" x14ac:dyDescent="0.25">
      <c r="F1224" s="268"/>
    </row>
    <row r="1225" spans="6:6" x14ac:dyDescent="0.25">
      <c r="F1225" s="268"/>
    </row>
    <row r="1226" spans="6:6" x14ac:dyDescent="0.25">
      <c r="F1226" s="268"/>
    </row>
    <row r="1227" spans="6:6" x14ac:dyDescent="0.25">
      <c r="F1227" s="268"/>
    </row>
    <row r="1228" spans="6:6" x14ac:dyDescent="0.25">
      <c r="F1228" s="268"/>
    </row>
    <row r="1229" spans="6:6" x14ac:dyDescent="0.25">
      <c r="F1229" s="268"/>
    </row>
    <row r="1230" spans="6:6" x14ac:dyDescent="0.25">
      <c r="F1230" s="268"/>
    </row>
    <row r="1231" spans="6:6" x14ac:dyDescent="0.25">
      <c r="F1231" s="268"/>
    </row>
    <row r="1232" spans="6:6" x14ac:dyDescent="0.25">
      <c r="F1232" s="268"/>
    </row>
    <row r="1233" spans="6:6" x14ac:dyDescent="0.25">
      <c r="F1233" s="268"/>
    </row>
    <row r="1234" spans="6:6" x14ac:dyDescent="0.25">
      <c r="F1234" s="268"/>
    </row>
    <row r="1235" spans="6:6" x14ac:dyDescent="0.25">
      <c r="F1235" s="268"/>
    </row>
    <row r="1236" spans="6:6" x14ac:dyDescent="0.25">
      <c r="F1236" s="268"/>
    </row>
    <row r="1237" spans="6:6" x14ac:dyDescent="0.25">
      <c r="F1237" s="268"/>
    </row>
    <row r="1238" spans="6:6" x14ac:dyDescent="0.25">
      <c r="F1238" s="268"/>
    </row>
    <row r="1239" spans="6:6" x14ac:dyDescent="0.25">
      <c r="F1239" s="268"/>
    </row>
    <row r="1240" spans="6:6" x14ac:dyDescent="0.25">
      <c r="F1240" s="268"/>
    </row>
    <row r="1241" spans="6:6" x14ac:dyDescent="0.25">
      <c r="F1241" s="268"/>
    </row>
    <row r="1242" spans="6:6" x14ac:dyDescent="0.25">
      <c r="F1242" s="268"/>
    </row>
    <row r="1243" spans="6:6" x14ac:dyDescent="0.25">
      <c r="F1243" s="268"/>
    </row>
    <row r="1244" spans="6:6" x14ac:dyDescent="0.25">
      <c r="F1244" s="268"/>
    </row>
    <row r="1245" spans="6:6" x14ac:dyDescent="0.25">
      <c r="F1245" s="268"/>
    </row>
    <row r="1246" spans="6:6" x14ac:dyDescent="0.25">
      <c r="F1246" s="268"/>
    </row>
    <row r="1247" spans="6:6" x14ac:dyDescent="0.25">
      <c r="F1247" s="268"/>
    </row>
    <row r="1248" spans="6:6" x14ac:dyDescent="0.25">
      <c r="F1248" s="268"/>
    </row>
    <row r="1249" spans="6:6" x14ac:dyDescent="0.25">
      <c r="F1249" s="268"/>
    </row>
    <row r="1250" spans="6:6" x14ac:dyDescent="0.25">
      <c r="F1250" s="268"/>
    </row>
    <row r="1251" spans="6:6" x14ac:dyDescent="0.25">
      <c r="F1251" s="268"/>
    </row>
    <row r="1252" spans="6:6" x14ac:dyDescent="0.25">
      <c r="F1252" s="268"/>
    </row>
    <row r="1253" spans="6:6" x14ac:dyDescent="0.25">
      <c r="F1253" s="268"/>
    </row>
    <row r="1254" spans="6:6" x14ac:dyDescent="0.25">
      <c r="F1254" s="268"/>
    </row>
    <row r="1255" spans="6:6" x14ac:dyDescent="0.25">
      <c r="F1255" s="268"/>
    </row>
    <row r="1256" spans="6:6" x14ac:dyDescent="0.25">
      <c r="F1256" s="268"/>
    </row>
    <row r="1257" spans="6:6" x14ac:dyDescent="0.25">
      <c r="F1257" s="268"/>
    </row>
    <row r="1258" spans="6:6" x14ac:dyDescent="0.25">
      <c r="F1258" s="268"/>
    </row>
    <row r="1259" spans="6:6" x14ac:dyDescent="0.25">
      <c r="F1259" s="268"/>
    </row>
    <row r="1260" spans="6:6" x14ac:dyDescent="0.25">
      <c r="F1260" s="268"/>
    </row>
    <row r="1261" spans="6:6" x14ac:dyDescent="0.25">
      <c r="F1261" s="268"/>
    </row>
    <row r="1262" spans="6:6" x14ac:dyDescent="0.25">
      <c r="F1262" s="268"/>
    </row>
    <row r="1263" spans="6:6" x14ac:dyDescent="0.25">
      <c r="F1263" s="268"/>
    </row>
    <row r="1264" spans="6:6" x14ac:dyDescent="0.25">
      <c r="F1264" s="268"/>
    </row>
    <row r="1265" spans="6:6" x14ac:dyDescent="0.25">
      <c r="F1265" s="268"/>
    </row>
    <row r="1266" spans="6:6" x14ac:dyDescent="0.25">
      <c r="F1266" s="268"/>
    </row>
    <row r="1267" spans="6:6" x14ac:dyDescent="0.25">
      <c r="F1267" s="268"/>
    </row>
    <row r="1268" spans="6:6" x14ac:dyDescent="0.25">
      <c r="F1268" s="268"/>
    </row>
    <row r="1269" spans="6:6" x14ac:dyDescent="0.25">
      <c r="F1269" s="268"/>
    </row>
    <row r="1270" spans="6:6" x14ac:dyDescent="0.25">
      <c r="F1270" s="268"/>
    </row>
    <row r="1271" spans="6:6" x14ac:dyDescent="0.25">
      <c r="F1271" s="268"/>
    </row>
    <row r="1272" spans="6:6" x14ac:dyDescent="0.25">
      <c r="F1272" s="268"/>
    </row>
    <row r="1273" spans="6:6" x14ac:dyDescent="0.25">
      <c r="F1273" s="268"/>
    </row>
    <row r="1274" spans="6:6" x14ac:dyDescent="0.25">
      <c r="F1274" s="268"/>
    </row>
    <row r="1275" spans="6:6" x14ac:dyDescent="0.25">
      <c r="F1275" s="268"/>
    </row>
    <row r="1276" spans="6:6" x14ac:dyDescent="0.25">
      <c r="F1276" s="268"/>
    </row>
    <row r="1277" spans="6:6" x14ac:dyDescent="0.25">
      <c r="F1277" s="268"/>
    </row>
    <row r="1278" spans="6:6" x14ac:dyDescent="0.25">
      <c r="F1278" s="268"/>
    </row>
    <row r="1279" spans="6:6" x14ac:dyDescent="0.25">
      <c r="F1279" s="268"/>
    </row>
    <row r="1280" spans="6:6" x14ac:dyDescent="0.25">
      <c r="F1280" s="268"/>
    </row>
    <row r="1281" spans="6:6" x14ac:dyDescent="0.25">
      <c r="F1281" s="268"/>
    </row>
    <row r="1282" spans="6:6" x14ac:dyDescent="0.25">
      <c r="F1282" s="268"/>
    </row>
    <row r="1283" spans="6:6" x14ac:dyDescent="0.25">
      <c r="F1283" s="268"/>
    </row>
    <row r="1284" spans="6:6" x14ac:dyDescent="0.25">
      <c r="F1284" s="268"/>
    </row>
    <row r="1285" spans="6:6" x14ac:dyDescent="0.25">
      <c r="F1285" s="268"/>
    </row>
    <row r="1286" spans="6:6" x14ac:dyDescent="0.25">
      <c r="F1286" s="268"/>
    </row>
    <row r="1287" spans="6:6" x14ac:dyDescent="0.25">
      <c r="F1287" s="268"/>
    </row>
    <row r="1288" spans="6:6" x14ac:dyDescent="0.25">
      <c r="F1288" s="268"/>
    </row>
    <row r="1289" spans="6:6" x14ac:dyDescent="0.25">
      <c r="F1289" s="268"/>
    </row>
    <row r="1290" spans="6:6" x14ac:dyDescent="0.25">
      <c r="F1290" s="268"/>
    </row>
    <row r="1291" spans="6:6" x14ac:dyDescent="0.25">
      <c r="F1291" s="268"/>
    </row>
    <row r="1292" spans="6:6" x14ac:dyDescent="0.25">
      <c r="F1292" s="268"/>
    </row>
    <row r="1293" spans="6:6" x14ac:dyDescent="0.25">
      <c r="F1293" s="268"/>
    </row>
    <row r="1294" spans="6:6" x14ac:dyDescent="0.25">
      <c r="F1294" s="268"/>
    </row>
    <row r="1295" spans="6:6" x14ac:dyDescent="0.25">
      <c r="F1295" s="268"/>
    </row>
    <row r="1296" spans="6:6" x14ac:dyDescent="0.25">
      <c r="F1296" s="268"/>
    </row>
    <row r="1297" spans="6:6" x14ac:dyDescent="0.25">
      <c r="F1297" s="268"/>
    </row>
    <row r="1298" spans="6:6" x14ac:dyDescent="0.25">
      <c r="F1298" s="268"/>
    </row>
    <row r="1299" spans="6:6" x14ac:dyDescent="0.25">
      <c r="F1299" s="268"/>
    </row>
    <row r="1300" spans="6:6" x14ac:dyDescent="0.25">
      <c r="F1300" s="268"/>
    </row>
    <row r="1301" spans="6:6" x14ac:dyDescent="0.25">
      <c r="F1301" s="268"/>
    </row>
    <row r="1302" spans="6:6" x14ac:dyDescent="0.25">
      <c r="F1302" s="268"/>
    </row>
    <row r="1303" spans="6:6" x14ac:dyDescent="0.25">
      <c r="F1303" s="268"/>
    </row>
    <row r="1304" spans="6:6" x14ac:dyDescent="0.25">
      <c r="F1304" s="268"/>
    </row>
    <row r="1305" spans="6:6" x14ac:dyDescent="0.25">
      <c r="F1305" s="268"/>
    </row>
    <row r="1306" spans="6:6" x14ac:dyDescent="0.25">
      <c r="F1306" s="268"/>
    </row>
    <row r="1307" spans="6:6" x14ac:dyDescent="0.25">
      <c r="F1307" s="268"/>
    </row>
    <row r="1308" spans="6:6" x14ac:dyDescent="0.25">
      <c r="F1308" s="268"/>
    </row>
    <row r="1309" spans="6:6" x14ac:dyDescent="0.25">
      <c r="F1309" s="268"/>
    </row>
    <row r="1310" spans="6:6" x14ac:dyDescent="0.25">
      <c r="F1310" s="268"/>
    </row>
    <row r="1311" spans="6:6" x14ac:dyDescent="0.25">
      <c r="F1311" s="268"/>
    </row>
    <row r="1312" spans="6:6" x14ac:dyDescent="0.25">
      <c r="F1312" s="268"/>
    </row>
    <row r="1313" spans="6:6" x14ac:dyDescent="0.25">
      <c r="F1313" s="268"/>
    </row>
    <row r="1314" spans="6:6" x14ac:dyDescent="0.25">
      <c r="F1314" s="268"/>
    </row>
    <row r="1315" spans="6:6" x14ac:dyDescent="0.25">
      <c r="F1315" s="268"/>
    </row>
    <row r="1316" spans="6:6" x14ac:dyDescent="0.25">
      <c r="F1316" s="268"/>
    </row>
    <row r="1317" spans="6:6" x14ac:dyDescent="0.25">
      <c r="F1317" s="268"/>
    </row>
    <row r="1318" spans="6:6" x14ac:dyDescent="0.25">
      <c r="F1318" s="268"/>
    </row>
    <row r="1319" spans="6:6" x14ac:dyDescent="0.25">
      <c r="F1319" s="268"/>
    </row>
    <row r="1320" spans="6:6" x14ac:dyDescent="0.25">
      <c r="F1320" s="268"/>
    </row>
    <row r="1321" spans="6:6" x14ac:dyDescent="0.25">
      <c r="F1321" s="268"/>
    </row>
    <row r="1322" spans="6:6" x14ac:dyDescent="0.25">
      <c r="F1322" s="268"/>
    </row>
    <row r="1323" spans="6:6" x14ac:dyDescent="0.25">
      <c r="F1323" s="268"/>
    </row>
    <row r="1324" spans="6:6" x14ac:dyDescent="0.25">
      <c r="F1324" s="268"/>
    </row>
    <row r="1325" spans="6:6" x14ac:dyDescent="0.25">
      <c r="F1325" s="268"/>
    </row>
    <row r="1326" spans="6:6" x14ac:dyDescent="0.25">
      <c r="F1326" s="268"/>
    </row>
    <row r="1327" spans="6:6" x14ac:dyDescent="0.25">
      <c r="F1327" s="268"/>
    </row>
    <row r="1328" spans="6:6" x14ac:dyDescent="0.25">
      <c r="F1328" s="268"/>
    </row>
    <row r="1329" spans="6:6" x14ac:dyDescent="0.25">
      <c r="F1329" s="268"/>
    </row>
    <row r="1330" spans="6:6" x14ac:dyDescent="0.25">
      <c r="F1330" s="268"/>
    </row>
    <row r="1331" spans="6:6" x14ac:dyDescent="0.25">
      <c r="F1331" s="268"/>
    </row>
    <row r="1332" spans="6:6" x14ac:dyDescent="0.25">
      <c r="F1332" s="268"/>
    </row>
    <row r="1333" spans="6:6" x14ac:dyDescent="0.25">
      <c r="F1333" s="268"/>
    </row>
    <row r="1334" spans="6:6" x14ac:dyDescent="0.25">
      <c r="F1334" s="268"/>
    </row>
    <row r="1335" spans="6:6" x14ac:dyDescent="0.25">
      <c r="F1335" s="268"/>
    </row>
    <row r="1336" spans="6:6" x14ac:dyDescent="0.25">
      <c r="F1336" s="268"/>
    </row>
    <row r="1337" spans="6:6" x14ac:dyDescent="0.25">
      <c r="F1337" s="268"/>
    </row>
    <row r="1338" spans="6:6" x14ac:dyDescent="0.25">
      <c r="F1338" s="268"/>
    </row>
    <row r="1339" spans="6:6" x14ac:dyDescent="0.25">
      <c r="F1339" s="268"/>
    </row>
    <row r="1340" spans="6:6" x14ac:dyDescent="0.25">
      <c r="F1340" s="268"/>
    </row>
    <row r="1341" spans="6:6" x14ac:dyDescent="0.25">
      <c r="F1341" s="268"/>
    </row>
    <row r="1342" spans="6:6" x14ac:dyDescent="0.25">
      <c r="F1342" s="268"/>
    </row>
    <row r="1343" spans="6:6" x14ac:dyDescent="0.25">
      <c r="F1343" s="268"/>
    </row>
    <row r="1344" spans="6:6" x14ac:dyDescent="0.25">
      <c r="F1344" s="268"/>
    </row>
    <row r="1345" spans="6:6" x14ac:dyDescent="0.25">
      <c r="F1345" s="268"/>
    </row>
    <row r="1346" spans="6:6" x14ac:dyDescent="0.25">
      <c r="F1346" s="268"/>
    </row>
    <row r="1347" spans="6:6" x14ac:dyDescent="0.25">
      <c r="F1347" s="268"/>
    </row>
    <row r="1348" spans="6:6" x14ac:dyDescent="0.25">
      <c r="F1348" s="268"/>
    </row>
    <row r="1349" spans="6:6" x14ac:dyDescent="0.25">
      <c r="F1349" s="268"/>
    </row>
    <row r="1350" spans="6:6" x14ac:dyDescent="0.25">
      <c r="F1350" s="268"/>
    </row>
    <row r="1351" spans="6:6" x14ac:dyDescent="0.25">
      <c r="F1351" s="268"/>
    </row>
    <row r="1352" spans="6:6" x14ac:dyDescent="0.25">
      <c r="F1352" s="268"/>
    </row>
    <row r="1353" spans="6:6" x14ac:dyDescent="0.25">
      <c r="F1353" s="268"/>
    </row>
    <row r="1354" spans="6:6" x14ac:dyDescent="0.25">
      <c r="F1354" s="268"/>
    </row>
    <row r="1355" spans="6:6" x14ac:dyDescent="0.25">
      <c r="F1355" s="268"/>
    </row>
    <row r="1356" spans="6:6" x14ac:dyDescent="0.25">
      <c r="F1356" s="268"/>
    </row>
    <row r="1357" spans="6:6" x14ac:dyDescent="0.25">
      <c r="F1357" s="268"/>
    </row>
    <row r="1358" spans="6:6" x14ac:dyDescent="0.25">
      <c r="F1358" s="268"/>
    </row>
    <row r="1359" spans="6:6" x14ac:dyDescent="0.25">
      <c r="F1359" s="268"/>
    </row>
    <row r="1360" spans="6:6" x14ac:dyDescent="0.25">
      <c r="F1360" s="268"/>
    </row>
    <row r="1361" spans="6:6" x14ac:dyDescent="0.25">
      <c r="F1361" s="268"/>
    </row>
    <row r="1362" spans="6:6" x14ac:dyDescent="0.25">
      <c r="F1362" s="268"/>
    </row>
    <row r="1363" spans="6:6" x14ac:dyDescent="0.25">
      <c r="F1363" s="268"/>
    </row>
    <row r="1364" spans="6:6" x14ac:dyDescent="0.25">
      <c r="F1364" s="268"/>
    </row>
    <row r="1365" spans="6:6" x14ac:dyDescent="0.25">
      <c r="F1365" s="268"/>
    </row>
    <row r="1366" spans="6:6" x14ac:dyDescent="0.25">
      <c r="F1366" s="268"/>
    </row>
    <row r="1367" spans="6:6" x14ac:dyDescent="0.25">
      <c r="F1367" s="268"/>
    </row>
    <row r="1368" spans="6:6" x14ac:dyDescent="0.25">
      <c r="F1368" s="268"/>
    </row>
    <row r="1369" spans="6:6" x14ac:dyDescent="0.25">
      <c r="F1369" s="268"/>
    </row>
    <row r="1370" spans="6:6" x14ac:dyDescent="0.25">
      <c r="F1370" s="268"/>
    </row>
    <row r="1371" spans="6:6" x14ac:dyDescent="0.25">
      <c r="F1371" s="268"/>
    </row>
    <row r="1372" spans="6:6" x14ac:dyDescent="0.25">
      <c r="F1372" s="268"/>
    </row>
    <row r="1373" spans="6:6" x14ac:dyDescent="0.25">
      <c r="F1373" s="268"/>
    </row>
    <row r="1374" spans="6:6" x14ac:dyDescent="0.25">
      <c r="F1374" s="268"/>
    </row>
    <row r="1375" spans="6:6" x14ac:dyDescent="0.25">
      <c r="F1375" s="268"/>
    </row>
    <row r="1376" spans="6:6" x14ac:dyDescent="0.25">
      <c r="F1376" s="268"/>
    </row>
    <row r="1377" spans="6:6" x14ac:dyDescent="0.25">
      <c r="F1377" s="268"/>
    </row>
    <row r="1378" spans="6:6" x14ac:dyDescent="0.25">
      <c r="F1378" s="268"/>
    </row>
    <row r="1379" spans="6:6" x14ac:dyDescent="0.25">
      <c r="F1379" s="268"/>
    </row>
    <row r="1380" spans="6:6" x14ac:dyDescent="0.25">
      <c r="F1380" s="268"/>
    </row>
    <row r="1381" spans="6:6" x14ac:dyDescent="0.25">
      <c r="F1381" s="268"/>
    </row>
    <row r="1382" spans="6:6" x14ac:dyDescent="0.25">
      <c r="F1382" s="268"/>
    </row>
    <row r="1383" spans="6:6" x14ac:dyDescent="0.25">
      <c r="F1383" s="268"/>
    </row>
    <row r="1384" spans="6:6" x14ac:dyDescent="0.25">
      <c r="F1384" s="268"/>
    </row>
    <row r="1385" spans="6:6" x14ac:dyDescent="0.25">
      <c r="F1385" s="268"/>
    </row>
    <row r="1386" spans="6:6" x14ac:dyDescent="0.25">
      <c r="F1386" s="268"/>
    </row>
    <row r="1387" spans="6:6" x14ac:dyDescent="0.25">
      <c r="F1387" s="268"/>
    </row>
    <row r="1388" spans="6:6" x14ac:dyDescent="0.25">
      <c r="F1388" s="268"/>
    </row>
    <row r="1389" spans="6:6" x14ac:dyDescent="0.25">
      <c r="F1389" s="268"/>
    </row>
    <row r="1390" spans="6:6" x14ac:dyDescent="0.25">
      <c r="F1390" s="268"/>
    </row>
    <row r="1391" spans="6:6" x14ac:dyDescent="0.25">
      <c r="F1391" s="268"/>
    </row>
    <row r="1392" spans="6:6" x14ac:dyDescent="0.25">
      <c r="F1392" s="268"/>
    </row>
    <row r="1393" spans="6:6" x14ac:dyDescent="0.25">
      <c r="F1393" s="268"/>
    </row>
    <row r="1394" spans="6:6" x14ac:dyDescent="0.25">
      <c r="F1394" s="268"/>
    </row>
    <row r="1395" spans="6:6" x14ac:dyDescent="0.25">
      <c r="F1395" s="268"/>
    </row>
    <row r="1396" spans="6:6" x14ac:dyDescent="0.25">
      <c r="F1396" s="268"/>
    </row>
    <row r="1397" spans="6:6" x14ac:dyDescent="0.25">
      <c r="F1397" s="268"/>
    </row>
    <row r="1398" spans="6:6" x14ac:dyDescent="0.25">
      <c r="F1398" s="268"/>
    </row>
    <row r="1399" spans="6:6" x14ac:dyDescent="0.25">
      <c r="F1399" s="268"/>
    </row>
    <row r="1400" spans="6:6" x14ac:dyDescent="0.25">
      <c r="F1400" s="268"/>
    </row>
    <row r="1401" spans="6:6" x14ac:dyDescent="0.25">
      <c r="F1401" s="268"/>
    </row>
    <row r="1402" spans="6:6" x14ac:dyDescent="0.25">
      <c r="F1402" s="268"/>
    </row>
    <row r="1403" spans="6:6" x14ac:dyDescent="0.25">
      <c r="F1403" s="268"/>
    </row>
    <row r="1404" spans="6:6" x14ac:dyDescent="0.25">
      <c r="F1404" s="268"/>
    </row>
    <row r="1405" spans="6:6" x14ac:dyDescent="0.25">
      <c r="F1405" s="268"/>
    </row>
    <row r="1406" spans="6:6" x14ac:dyDescent="0.25">
      <c r="F1406" s="268"/>
    </row>
    <row r="1407" spans="6:6" x14ac:dyDescent="0.25">
      <c r="F1407" s="268"/>
    </row>
    <row r="1408" spans="6:6" x14ac:dyDescent="0.25">
      <c r="F1408" s="268"/>
    </row>
    <row r="1409" spans="6:6" x14ac:dyDescent="0.25">
      <c r="F1409" s="268"/>
    </row>
    <row r="1410" spans="6:6" x14ac:dyDescent="0.25">
      <c r="F1410" s="268"/>
    </row>
    <row r="1411" spans="6:6" x14ac:dyDescent="0.25">
      <c r="F1411" s="268"/>
    </row>
    <row r="1412" spans="6:6" x14ac:dyDescent="0.25">
      <c r="F1412" s="268"/>
    </row>
    <row r="1413" spans="6:6" x14ac:dyDescent="0.25">
      <c r="F1413" s="268"/>
    </row>
    <row r="1414" spans="6:6" x14ac:dyDescent="0.25">
      <c r="F1414" s="268"/>
    </row>
    <row r="1415" spans="6:6" x14ac:dyDescent="0.25">
      <c r="F1415" s="268"/>
    </row>
    <row r="1416" spans="6:6" x14ac:dyDescent="0.25">
      <c r="F1416" s="268"/>
    </row>
    <row r="1417" spans="6:6" x14ac:dyDescent="0.25">
      <c r="F1417" s="268"/>
    </row>
    <row r="1418" spans="6:6" x14ac:dyDescent="0.25">
      <c r="F1418" s="268"/>
    </row>
    <row r="1419" spans="6:6" x14ac:dyDescent="0.25">
      <c r="F1419" s="268"/>
    </row>
    <row r="1420" spans="6:6" x14ac:dyDescent="0.25">
      <c r="F1420" s="268"/>
    </row>
    <row r="1421" spans="6:6" x14ac:dyDescent="0.25">
      <c r="F1421" s="268"/>
    </row>
    <row r="1422" spans="6:6" x14ac:dyDescent="0.25">
      <c r="F1422" s="268"/>
    </row>
    <row r="1423" spans="6:6" x14ac:dyDescent="0.25">
      <c r="F1423" s="268"/>
    </row>
    <row r="1424" spans="6:6" x14ac:dyDescent="0.25">
      <c r="F1424" s="268"/>
    </row>
    <row r="1425" spans="6:6" x14ac:dyDescent="0.25">
      <c r="F1425" s="268"/>
    </row>
    <row r="1426" spans="6:6" x14ac:dyDescent="0.25">
      <c r="F1426" s="268"/>
    </row>
    <row r="1427" spans="6:6" x14ac:dyDescent="0.25">
      <c r="F1427" s="268"/>
    </row>
    <row r="1428" spans="6:6" x14ac:dyDescent="0.25">
      <c r="F1428" s="268"/>
    </row>
    <row r="1429" spans="6:6" x14ac:dyDescent="0.25">
      <c r="F1429" s="268"/>
    </row>
    <row r="1430" spans="6:6" x14ac:dyDescent="0.25">
      <c r="F1430" s="268"/>
    </row>
    <row r="1431" spans="6:6" x14ac:dyDescent="0.25">
      <c r="F1431" s="268"/>
    </row>
    <row r="1432" spans="6:6" x14ac:dyDescent="0.25">
      <c r="F1432" s="268"/>
    </row>
    <row r="1433" spans="6:6" x14ac:dyDescent="0.25">
      <c r="F1433" s="268"/>
    </row>
    <row r="1434" spans="6:6" x14ac:dyDescent="0.25">
      <c r="F1434" s="268"/>
    </row>
    <row r="1435" spans="6:6" x14ac:dyDescent="0.25">
      <c r="F1435" s="268"/>
    </row>
    <row r="1436" spans="6:6" x14ac:dyDescent="0.25">
      <c r="F1436" s="268"/>
    </row>
    <row r="1437" spans="6:6" x14ac:dyDescent="0.25">
      <c r="F1437" s="268"/>
    </row>
    <row r="1438" spans="6:6" x14ac:dyDescent="0.25">
      <c r="F1438" s="268"/>
    </row>
    <row r="1439" spans="6:6" x14ac:dyDescent="0.25">
      <c r="F1439" s="268"/>
    </row>
    <row r="1440" spans="6:6" x14ac:dyDescent="0.25">
      <c r="F1440" s="268"/>
    </row>
    <row r="1441" spans="6:6" x14ac:dyDescent="0.25">
      <c r="F1441" s="268"/>
    </row>
    <row r="1442" spans="6:6" x14ac:dyDescent="0.25">
      <c r="F1442" s="268"/>
    </row>
    <row r="1443" spans="6:6" x14ac:dyDescent="0.25">
      <c r="F1443" s="268"/>
    </row>
    <row r="1444" spans="6:6" x14ac:dyDescent="0.25">
      <c r="F1444" s="268"/>
    </row>
    <row r="1445" spans="6:6" x14ac:dyDescent="0.25">
      <c r="F1445" s="268"/>
    </row>
    <row r="1446" spans="6:6" x14ac:dyDescent="0.25">
      <c r="F1446" s="268"/>
    </row>
    <row r="1447" spans="6:6" x14ac:dyDescent="0.25">
      <c r="F1447" s="268"/>
    </row>
    <row r="1448" spans="6:6" x14ac:dyDescent="0.25">
      <c r="F1448" s="268"/>
    </row>
    <row r="1449" spans="6:6" x14ac:dyDescent="0.25">
      <c r="F1449" s="268"/>
    </row>
    <row r="1450" spans="6:6" x14ac:dyDescent="0.25">
      <c r="F1450" s="268"/>
    </row>
    <row r="1451" spans="6:6" x14ac:dyDescent="0.25">
      <c r="F1451" s="268"/>
    </row>
    <row r="1452" spans="6:6" x14ac:dyDescent="0.25">
      <c r="F1452" s="268"/>
    </row>
    <row r="1453" spans="6:6" x14ac:dyDescent="0.25">
      <c r="F1453" s="268"/>
    </row>
    <row r="1454" spans="6:6" x14ac:dyDescent="0.25">
      <c r="F1454" s="268"/>
    </row>
    <row r="1455" spans="6:6" x14ac:dyDescent="0.25">
      <c r="F1455" s="268"/>
    </row>
    <row r="1456" spans="6:6" x14ac:dyDescent="0.25">
      <c r="F1456" s="268"/>
    </row>
    <row r="1457" spans="6:6" x14ac:dyDescent="0.25">
      <c r="F1457" s="268"/>
    </row>
    <row r="1458" spans="6:6" x14ac:dyDescent="0.25">
      <c r="F1458" s="268"/>
    </row>
    <row r="1459" spans="6:6" x14ac:dyDescent="0.25">
      <c r="F1459" s="268"/>
    </row>
    <row r="1460" spans="6:6" x14ac:dyDescent="0.25">
      <c r="F1460" s="268"/>
    </row>
    <row r="1461" spans="6:6" x14ac:dyDescent="0.25">
      <c r="F1461" s="268"/>
    </row>
    <row r="1462" spans="6:6" x14ac:dyDescent="0.25">
      <c r="F1462" s="268"/>
    </row>
    <row r="1463" spans="6:6" x14ac:dyDescent="0.25">
      <c r="F1463" s="268"/>
    </row>
    <row r="1464" spans="6:6" x14ac:dyDescent="0.25">
      <c r="F1464" s="268"/>
    </row>
    <row r="1465" spans="6:6" x14ac:dyDescent="0.25">
      <c r="F1465" s="268"/>
    </row>
    <row r="1466" spans="6:6" x14ac:dyDescent="0.25">
      <c r="F1466" s="268"/>
    </row>
    <row r="1467" spans="6:6" x14ac:dyDescent="0.25">
      <c r="F1467" s="268"/>
    </row>
    <row r="1468" spans="6:6" x14ac:dyDescent="0.25">
      <c r="F1468" s="268"/>
    </row>
    <row r="1469" spans="6:6" x14ac:dyDescent="0.25">
      <c r="F1469" s="268"/>
    </row>
    <row r="1470" spans="6:6" x14ac:dyDescent="0.25">
      <c r="F1470" s="268"/>
    </row>
    <row r="1471" spans="6:6" x14ac:dyDescent="0.25">
      <c r="F1471" s="268"/>
    </row>
    <row r="1472" spans="6:6" x14ac:dyDescent="0.25">
      <c r="F1472" s="268"/>
    </row>
    <row r="1473" spans="6:6" x14ac:dyDescent="0.25">
      <c r="F1473" s="268"/>
    </row>
    <row r="1474" spans="6:6" x14ac:dyDescent="0.25">
      <c r="F1474" s="268"/>
    </row>
    <row r="1475" spans="6:6" x14ac:dyDescent="0.25">
      <c r="F1475" s="268"/>
    </row>
    <row r="1476" spans="6:6" x14ac:dyDescent="0.25">
      <c r="F1476" s="268"/>
    </row>
    <row r="1477" spans="6:6" x14ac:dyDescent="0.25">
      <c r="F1477" s="268"/>
    </row>
    <row r="1478" spans="6:6" x14ac:dyDescent="0.25">
      <c r="F1478" s="268"/>
    </row>
    <row r="1479" spans="6:6" x14ac:dyDescent="0.25">
      <c r="F1479" s="268"/>
    </row>
    <row r="1480" spans="6:6" x14ac:dyDescent="0.25">
      <c r="F1480" s="268"/>
    </row>
    <row r="1481" spans="6:6" x14ac:dyDescent="0.25">
      <c r="F1481" s="268"/>
    </row>
    <row r="1482" spans="6:6" x14ac:dyDescent="0.25">
      <c r="F1482" s="268"/>
    </row>
    <row r="1483" spans="6:6" x14ac:dyDescent="0.25">
      <c r="F1483" s="268"/>
    </row>
    <row r="1484" spans="6:6" x14ac:dyDescent="0.25">
      <c r="F1484" s="268"/>
    </row>
    <row r="1485" spans="6:6" x14ac:dyDescent="0.25">
      <c r="F1485" s="268"/>
    </row>
    <row r="1486" spans="6:6" x14ac:dyDescent="0.25">
      <c r="F1486" s="268"/>
    </row>
    <row r="1487" spans="6:6" x14ac:dyDescent="0.25">
      <c r="F1487" s="268"/>
    </row>
    <row r="1488" spans="6:6" x14ac:dyDescent="0.25">
      <c r="F1488" s="268"/>
    </row>
    <row r="1489" spans="6:6" x14ac:dyDescent="0.25">
      <c r="F1489" s="268"/>
    </row>
    <row r="1490" spans="6:6" x14ac:dyDescent="0.25">
      <c r="F1490" s="268"/>
    </row>
    <row r="1491" spans="6:6" x14ac:dyDescent="0.25">
      <c r="F1491" s="268"/>
    </row>
    <row r="1492" spans="6:6" x14ac:dyDescent="0.25">
      <c r="F1492" s="268"/>
    </row>
    <row r="1493" spans="6:6" x14ac:dyDescent="0.25">
      <c r="F1493" s="268"/>
    </row>
    <row r="1494" spans="6:6" x14ac:dyDescent="0.25">
      <c r="F1494" s="268"/>
    </row>
    <row r="1495" spans="6:6" x14ac:dyDescent="0.25">
      <c r="F1495" s="268"/>
    </row>
    <row r="1496" spans="6:6" x14ac:dyDescent="0.25">
      <c r="F1496" s="268"/>
    </row>
    <row r="1497" spans="6:6" x14ac:dyDescent="0.25">
      <c r="F1497" s="268"/>
    </row>
    <row r="1498" spans="6:6" x14ac:dyDescent="0.25">
      <c r="F1498" s="268"/>
    </row>
    <row r="1499" spans="6:6" x14ac:dyDescent="0.25">
      <c r="F1499" s="268"/>
    </row>
    <row r="1500" spans="6:6" x14ac:dyDescent="0.25">
      <c r="F1500" s="268"/>
    </row>
    <row r="1501" spans="6:6" x14ac:dyDescent="0.25">
      <c r="F1501" s="268"/>
    </row>
    <row r="1502" spans="6:6" x14ac:dyDescent="0.25">
      <c r="F1502" s="268"/>
    </row>
    <row r="1503" spans="6:6" x14ac:dyDescent="0.25">
      <c r="F1503" s="268"/>
    </row>
    <row r="1504" spans="6:6" x14ac:dyDescent="0.25">
      <c r="F1504" s="268"/>
    </row>
    <row r="1505" spans="6:6" x14ac:dyDescent="0.25">
      <c r="F1505" s="268"/>
    </row>
    <row r="1506" spans="6:6" x14ac:dyDescent="0.25">
      <c r="F1506" s="268"/>
    </row>
    <row r="1507" spans="6:6" x14ac:dyDescent="0.25">
      <c r="F1507" s="268"/>
    </row>
    <row r="1508" spans="6:6" x14ac:dyDescent="0.25">
      <c r="F1508" s="268"/>
    </row>
    <row r="1509" spans="6:6" x14ac:dyDescent="0.25">
      <c r="F1509" s="268"/>
    </row>
    <row r="1510" spans="6:6" x14ac:dyDescent="0.25">
      <c r="F1510" s="268"/>
    </row>
    <row r="1511" spans="6:6" x14ac:dyDescent="0.25">
      <c r="F1511" s="268"/>
    </row>
    <row r="1512" spans="6:6" x14ac:dyDescent="0.25">
      <c r="F1512" s="268"/>
    </row>
    <row r="1513" spans="6:6" x14ac:dyDescent="0.25">
      <c r="F1513" s="268"/>
    </row>
    <row r="1514" spans="6:6" x14ac:dyDescent="0.25">
      <c r="F1514" s="268"/>
    </row>
    <row r="1515" spans="6:6" x14ac:dyDescent="0.25">
      <c r="F1515" s="268"/>
    </row>
    <row r="1516" spans="6:6" x14ac:dyDescent="0.25">
      <c r="F1516" s="268"/>
    </row>
    <row r="1517" spans="6:6" x14ac:dyDescent="0.25">
      <c r="F1517" s="268"/>
    </row>
    <row r="1518" spans="6:6" x14ac:dyDescent="0.25">
      <c r="F1518" s="268"/>
    </row>
    <row r="1519" spans="6:6" x14ac:dyDescent="0.25">
      <c r="F1519" s="268"/>
    </row>
    <row r="1520" spans="6:6" x14ac:dyDescent="0.25">
      <c r="F1520" s="268"/>
    </row>
    <row r="1521" spans="6:6" x14ac:dyDescent="0.25">
      <c r="F1521" s="268"/>
    </row>
    <row r="1522" spans="6:6" x14ac:dyDescent="0.25">
      <c r="F1522" s="268"/>
    </row>
    <row r="1523" spans="6:6" x14ac:dyDescent="0.25">
      <c r="F1523" s="268"/>
    </row>
    <row r="1524" spans="6:6" x14ac:dyDescent="0.25">
      <c r="F1524" s="268"/>
    </row>
    <row r="1525" spans="6:6" x14ac:dyDescent="0.25">
      <c r="F1525" s="268"/>
    </row>
    <row r="1526" spans="6:6" x14ac:dyDescent="0.25">
      <c r="F1526" s="268"/>
    </row>
    <row r="1527" spans="6:6" x14ac:dyDescent="0.25">
      <c r="F1527" s="268"/>
    </row>
    <row r="1528" spans="6:6" x14ac:dyDescent="0.25">
      <c r="F1528" s="268"/>
    </row>
    <row r="1529" spans="6:6" x14ac:dyDescent="0.25">
      <c r="F1529" s="268"/>
    </row>
    <row r="1530" spans="6:6" x14ac:dyDescent="0.25">
      <c r="F1530" s="268"/>
    </row>
    <row r="1531" spans="6:6" x14ac:dyDescent="0.25">
      <c r="F1531" s="268"/>
    </row>
    <row r="1532" spans="6:6" x14ac:dyDescent="0.25">
      <c r="F1532" s="268"/>
    </row>
    <row r="1533" spans="6:6" x14ac:dyDescent="0.25">
      <c r="F1533" s="268"/>
    </row>
    <row r="1534" spans="6:6" x14ac:dyDescent="0.25">
      <c r="F1534" s="268"/>
    </row>
    <row r="1535" spans="6:6" x14ac:dyDescent="0.25">
      <c r="F1535" s="268"/>
    </row>
    <row r="1536" spans="6:6" x14ac:dyDescent="0.25">
      <c r="F1536" s="268"/>
    </row>
    <row r="1537" spans="6:6" x14ac:dyDescent="0.25">
      <c r="F1537" s="268"/>
    </row>
    <row r="1538" spans="6:6" x14ac:dyDescent="0.25">
      <c r="F1538" s="268"/>
    </row>
    <row r="1539" spans="6:6" x14ac:dyDescent="0.25">
      <c r="F1539" s="268"/>
    </row>
    <row r="1540" spans="6:6" x14ac:dyDescent="0.25">
      <c r="F1540" s="268"/>
    </row>
    <row r="1541" spans="6:6" x14ac:dyDescent="0.25">
      <c r="F1541" s="268"/>
    </row>
    <row r="1542" spans="6:6" x14ac:dyDescent="0.25">
      <c r="F1542" s="268"/>
    </row>
    <row r="1543" spans="6:6" x14ac:dyDescent="0.25">
      <c r="F1543" s="268"/>
    </row>
    <row r="1544" spans="6:6" x14ac:dyDescent="0.25">
      <c r="F1544" s="268"/>
    </row>
    <row r="1545" spans="6:6" x14ac:dyDescent="0.25">
      <c r="F1545" s="268"/>
    </row>
    <row r="1546" spans="6:6" x14ac:dyDescent="0.25">
      <c r="F1546" s="268"/>
    </row>
    <row r="1547" spans="6:6" x14ac:dyDescent="0.25">
      <c r="F1547" s="268"/>
    </row>
    <row r="1548" spans="6:6" x14ac:dyDescent="0.25">
      <c r="F1548" s="268"/>
    </row>
    <row r="1549" spans="6:6" x14ac:dyDescent="0.25">
      <c r="F1549" s="268"/>
    </row>
    <row r="1550" spans="6:6" x14ac:dyDescent="0.25">
      <c r="F1550" s="268"/>
    </row>
    <row r="1551" spans="6:6" x14ac:dyDescent="0.25">
      <c r="F1551" s="268"/>
    </row>
    <row r="1552" spans="6:6" x14ac:dyDescent="0.25">
      <c r="F1552" s="268"/>
    </row>
    <row r="1553" spans="6:6" x14ac:dyDescent="0.25">
      <c r="F1553" s="268"/>
    </row>
    <row r="1554" spans="6:6" x14ac:dyDescent="0.25">
      <c r="F1554" s="268"/>
    </row>
    <row r="1555" spans="6:6" x14ac:dyDescent="0.25">
      <c r="F1555" s="268"/>
    </row>
    <row r="1556" spans="6:6" x14ac:dyDescent="0.25">
      <c r="F1556" s="268"/>
    </row>
    <row r="1557" spans="6:6" x14ac:dyDescent="0.25">
      <c r="F1557" s="268"/>
    </row>
    <row r="1558" spans="6:6" x14ac:dyDescent="0.25">
      <c r="F1558" s="268"/>
    </row>
    <row r="1559" spans="6:6" x14ac:dyDescent="0.25">
      <c r="F1559" s="268"/>
    </row>
    <row r="1560" spans="6:6" x14ac:dyDescent="0.25">
      <c r="F1560" s="268"/>
    </row>
    <row r="1561" spans="6:6" x14ac:dyDescent="0.25">
      <c r="F1561" s="268"/>
    </row>
    <row r="1562" spans="6:6" x14ac:dyDescent="0.25">
      <c r="F1562" s="268"/>
    </row>
    <row r="1563" spans="6:6" x14ac:dyDescent="0.25">
      <c r="F1563" s="268"/>
    </row>
    <row r="1564" spans="6:6" x14ac:dyDescent="0.25">
      <c r="F1564" s="268"/>
    </row>
    <row r="1565" spans="6:6" x14ac:dyDescent="0.25">
      <c r="F1565" s="268"/>
    </row>
    <row r="1566" spans="6:6" x14ac:dyDescent="0.25">
      <c r="F1566" s="268"/>
    </row>
    <row r="1567" spans="6:6" x14ac:dyDescent="0.25">
      <c r="F1567" s="268"/>
    </row>
    <row r="1568" spans="6:6" x14ac:dyDescent="0.25">
      <c r="F1568" s="268"/>
    </row>
    <row r="1569" spans="6:6" x14ac:dyDescent="0.25">
      <c r="F1569" s="268"/>
    </row>
    <row r="1570" spans="6:6" x14ac:dyDescent="0.25">
      <c r="F1570" s="268"/>
    </row>
    <row r="1571" spans="6:6" x14ac:dyDescent="0.25">
      <c r="F1571" s="268"/>
    </row>
    <row r="1572" spans="6:6" x14ac:dyDescent="0.25">
      <c r="F1572" s="268"/>
    </row>
    <row r="1573" spans="6:6" x14ac:dyDescent="0.25">
      <c r="F1573" s="268"/>
    </row>
    <row r="1574" spans="6:6" x14ac:dyDescent="0.25">
      <c r="F1574" s="268"/>
    </row>
    <row r="1575" spans="6:6" x14ac:dyDescent="0.25">
      <c r="F1575" s="268"/>
    </row>
    <row r="1576" spans="6:6" x14ac:dyDescent="0.25">
      <c r="F1576" s="268"/>
    </row>
    <row r="1577" spans="6:6" x14ac:dyDescent="0.25">
      <c r="F1577" s="268"/>
    </row>
    <row r="1578" spans="6:6" x14ac:dyDescent="0.25">
      <c r="F1578" s="268"/>
    </row>
    <row r="1579" spans="6:6" x14ac:dyDescent="0.25">
      <c r="F1579" s="268"/>
    </row>
    <row r="1580" spans="6:6" x14ac:dyDescent="0.25">
      <c r="F1580" s="268"/>
    </row>
    <row r="1581" spans="6:6" x14ac:dyDescent="0.25">
      <c r="F1581" s="268"/>
    </row>
    <row r="1582" spans="6:6" x14ac:dyDescent="0.25">
      <c r="F1582" s="268"/>
    </row>
    <row r="1583" spans="6:6" x14ac:dyDescent="0.25">
      <c r="F1583" s="268"/>
    </row>
    <row r="1584" spans="6:6" x14ac:dyDescent="0.25">
      <c r="F1584" s="268"/>
    </row>
    <row r="1585" spans="6:6" x14ac:dyDescent="0.25">
      <c r="F1585" s="268"/>
    </row>
    <row r="1586" spans="6:6" x14ac:dyDescent="0.25">
      <c r="F1586" s="268"/>
    </row>
    <row r="1587" spans="6:6" x14ac:dyDescent="0.25">
      <c r="F1587" s="268"/>
    </row>
    <row r="1588" spans="6:6" x14ac:dyDescent="0.25">
      <c r="F1588" s="268"/>
    </row>
    <row r="1589" spans="6:6" x14ac:dyDescent="0.25">
      <c r="F1589" s="268"/>
    </row>
    <row r="1590" spans="6:6" x14ac:dyDescent="0.25">
      <c r="F1590" s="268"/>
    </row>
    <row r="1591" spans="6:6" x14ac:dyDescent="0.25">
      <c r="F1591" s="268"/>
    </row>
    <row r="1592" spans="6:6" x14ac:dyDescent="0.25">
      <c r="F1592" s="268"/>
    </row>
    <row r="1593" spans="6:6" x14ac:dyDescent="0.25">
      <c r="F1593" s="268"/>
    </row>
    <row r="1594" spans="6:6" x14ac:dyDescent="0.25">
      <c r="F1594" s="268"/>
    </row>
    <row r="1595" spans="6:6" x14ac:dyDescent="0.25">
      <c r="F1595" s="268"/>
    </row>
    <row r="1596" spans="6:6" x14ac:dyDescent="0.25">
      <c r="F1596" s="268"/>
    </row>
    <row r="1597" spans="6:6" x14ac:dyDescent="0.25">
      <c r="F1597" s="268"/>
    </row>
    <row r="1598" spans="6:6" x14ac:dyDescent="0.25">
      <c r="F1598" s="268"/>
    </row>
    <row r="1599" spans="6:6" x14ac:dyDescent="0.25">
      <c r="F1599" s="268"/>
    </row>
    <row r="1600" spans="6:6" x14ac:dyDescent="0.25">
      <c r="F1600" s="268"/>
    </row>
    <row r="1601" spans="6:6" x14ac:dyDescent="0.25">
      <c r="F1601" s="268"/>
    </row>
    <row r="1602" spans="6:6" x14ac:dyDescent="0.25">
      <c r="F1602" s="268"/>
    </row>
    <row r="1603" spans="6:6" x14ac:dyDescent="0.25">
      <c r="F1603" s="268"/>
    </row>
    <row r="1604" spans="6:6" x14ac:dyDescent="0.25">
      <c r="F1604" s="268"/>
    </row>
    <row r="1605" spans="6:6" x14ac:dyDescent="0.25">
      <c r="F1605" s="268"/>
    </row>
    <row r="1606" spans="6:6" x14ac:dyDescent="0.25">
      <c r="F1606" s="268"/>
    </row>
    <row r="1607" spans="6:6" x14ac:dyDescent="0.25">
      <c r="F1607" s="268"/>
    </row>
    <row r="1608" spans="6:6" x14ac:dyDescent="0.25">
      <c r="F1608" s="268"/>
    </row>
    <row r="1609" spans="6:6" x14ac:dyDescent="0.25">
      <c r="F1609" s="268"/>
    </row>
    <row r="1610" spans="6:6" x14ac:dyDescent="0.25">
      <c r="F1610" s="268"/>
    </row>
    <row r="1611" spans="6:6" x14ac:dyDescent="0.25">
      <c r="F1611" s="268"/>
    </row>
    <row r="1612" spans="6:6" x14ac:dyDescent="0.25">
      <c r="F1612" s="268"/>
    </row>
    <row r="1613" spans="6:6" x14ac:dyDescent="0.25">
      <c r="F1613" s="268"/>
    </row>
    <row r="1614" spans="6:6" x14ac:dyDescent="0.25">
      <c r="F1614" s="268"/>
    </row>
    <row r="1615" spans="6:6" x14ac:dyDescent="0.25">
      <c r="F1615" s="268"/>
    </row>
    <row r="1616" spans="6:6" x14ac:dyDescent="0.25">
      <c r="F1616" s="268"/>
    </row>
    <row r="1617" spans="6:6" x14ac:dyDescent="0.25">
      <c r="F1617" s="268"/>
    </row>
    <row r="1618" spans="6:6" x14ac:dyDescent="0.25">
      <c r="F1618" s="268"/>
    </row>
    <row r="1619" spans="6:6" x14ac:dyDescent="0.25">
      <c r="F1619" s="268"/>
    </row>
    <row r="1620" spans="6:6" x14ac:dyDescent="0.25">
      <c r="F1620" s="268"/>
    </row>
    <row r="1621" spans="6:6" x14ac:dyDescent="0.25">
      <c r="F1621" s="268"/>
    </row>
    <row r="1622" spans="6:6" x14ac:dyDescent="0.25">
      <c r="F1622" s="268"/>
    </row>
    <row r="1623" spans="6:6" x14ac:dyDescent="0.25">
      <c r="F1623" s="268"/>
    </row>
    <row r="1624" spans="6:6" x14ac:dyDescent="0.25">
      <c r="F1624" s="268"/>
    </row>
    <row r="1625" spans="6:6" x14ac:dyDescent="0.25">
      <c r="F1625" s="268"/>
    </row>
    <row r="1626" spans="6:6" x14ac:dyDescent="0.25">
      <c r="F1626" s="268"/>
    </row>
    <row r="1627" spans="6:6" x14ac:dyDescent="0.25">
      <c r="F1627" s="268"/>
    </row>
    <row r="1628" spans="6:6" x14ac:dyDescent="0.25">
      <c r="F1628" s="268"/>
    </row>
    <row r="1629" spans="6:6" x14ac:dyDescent="0.25">
      <c r="F1629" s="268"/>
    </row>
    <row r="1630" spans="6:6" x14ac:dyDescent="0.25">
      <c r="F1630" s="268"/>
    </row>
    <row r="1631" spans="6:6" x14ac:dyDescent="0.25">
      <c r="F1631" s="268"/>
    </row>
    <row r="1632" spans="6:6" x14ac:dyDescent="0.25">
      <c r="F1632" s="268"/>
    </row>
    <row r="1633" spans="6:6" x14ac:dyDescent="0.25">
      <c r="F1633" s="268"/>
    </row>
    <row r="1634" spans="6:6" x14ac:dyDescent="0.25">
      <c r="F1634" s="268"/>
    </row>
    <row r="1635" spans="6:6" x14ac:dyDescent="0.25">
      <c r="F1635" s="268"/>
    </row>
    <row r="1636" spans="6:6" x14ac:dyDescent="0.25">
      <c r="F1636" s="268"/>
    </row>
    <row r="1637" spans="6:6" x14ac:dyDescent="0.25">
      <c r="F1637" s="268"/>
    </row>
    <row r="1638" spans="6:6" x14ac:dyDescent="0.25">
      <c r="F1638" s="268"/>
    </row>
    <row r="1639" spans="6:6" x14ac:dyDescent="0.25">
      <c r="F1639" s="268"/>
    </row>
    <row r="1640" spans="6:6" x14ac:dyDescent="0.25">
      <c r="F1640" s="268"/>
    </row>
    <row r="1641" spans="6:6" x14ac:dyDescent="0.25">
      <c r="F1641" s="268"/>
    </row>
    <row r="1642" spans="6:6" x14ac:dyDescent="0.25">
      <c r="F1642" s="268"/>
    </row>
    <row r="1643" spans="6:6" x14ac:dyDescent="0.25">
      <c r="F1643" s="268"/>
    </row>
    <row r="1644" spans="6:6" x14ac:dyDescent="0.25">
      <c r="F1644" s="268"/>
    </row>
    <row r="1645" spans="6:6" x14ac:dyDescent="0.25">
      <c r="F1645" s="268"/>
    </row>
    <row r="1646" spans="6:6" x14ac:dyDescent="0.25">
      <c r="F1646" s="268"/>
    </row>
    <row r="1647" spans="6:6" x14ac:dyDescent="0.25">
      <c r="F1647" s="268"/>
    </row>
    <row r="1648" spans="6:6" x14ac:dyDescent="0.25">
      <c r="F1648" s="268"/>
    </row>
    <row r="1649" spans="6:6" x14ac:dyDescent="0.25">
      <c r="F1649" s="268"/>
    </row>
    <row r="1650" spans="6:6" x14ac:dyDescent="0.25">
      <c r="F1650" s="268"/>
    </row>
    <row r="1651" spans="6:6" x14ac:dyDescent="0.25">
      <c r="F1651" s="268"/>
    </row>
    <row r="1652" spans="6:6" x14ac:dyDescent="0.25">
      <c r="F1652" s="268"/>
    </row>
    <row r="1653" spans="6:6" x14ac:dyDescent="0.25">
      <c r="F1653" s="268"/>
    </row>
    <row r="1654" spans="6:6" x14ac:dyDescent="0.25">
      <c r="F1654" s="268"/>
    </row>
    <row r="1655" spans="6:6" x14ac:dyDescent="0.25">
      <c r="F1655" s="268"/>
    </row>
    <row r="1656" spans="6:6" x14ac:dyDescent="0.25">
      <c r="F1656" s="268"/>
    </row>
    <row r="1657" spans="6:6" x14ac:dyDescent="0.25">
      <c r="F1657" s="268"/>
    </row>
    <row r="1658" spans="6:6" x14ac:dyDescent="0.25">
      <c r="F1658" s="268"/>
    </row>
    <row r="1659" spans="6:6" x14ac:dyDescent="0.25">
      <c r="F1659" s="268"/>
    </row>
    <row r="1660" spans="6:6" x14ac:dyDescent="0.25">
      <c r="F1660" s="268"/>
    </row>
    <row r="1661" spans="6:6" x14ac:dyDescent="0.25">
      <c r="F1661" s="268"/>
    </row>
    <row r="1662" spans="6:6" x14ac:dyDescent="0.25">
      <c r="F1662" s="268"/>
    </row>
    <row r="1663" spans="6:6" x14ac:dyDescent="0.25">
      <c r="F1663" s="268"/>
    </row>
    <row r="1664" spans="6:6" x14ac:dyDescent="0.25">
      <c r="F1664" s="268"/>
    </row>
    <row r="1665" spans="6:6" x14ac:dyDescent="0.25">
      <c r="F1665" s="268"/>
    </row>
    <row r="1666" spans="6:6" x14ac:dyDescent="0.25">
      <c r="F1666" s="268"/>
    </row>
    <row r="1667" spans="6:6" x14ac:dyDescent="0.25">
      <c r="F1667" s="268"/>
    </row>
    <row r="1668" spans="6:6" x14ac:dyDescent="0.25">
      <c r="F1668" s="268"/>
    </row>
    <row r="1669" spans="6:6" x14ac:dyDescent="0.25">
      <c r="F1669" s="268"/>
    </row>
    <row r="1670" spans="6:6" x14ac:dyDescent="0.25">
      <c r="F1670" s="268"/>
    </row>
    <row r="1671" spans="6:6" x14ac:dyDescent="0.25">
      <c r="F1671" s="268"/>
    </row>
    <row r="1672" spans="6:6" x14ac:dyDescent="0.25">
      <c r="F1672" s="268"/>
    </row>
    <row r="1673" spans="6:6" x14ac:dyDescent="0.25">
      <c r="F1673" s="268"/>
    </row>
    <row r="1674" spans="6:6" x14ac:dyDescent="0.25">
      <c r="F1674" s="268"/>
    </row>
    <row r="1675" spans="6:6" x14ac:dyDescent="0.25">
      <c r="F1675" s="268"/>
    </row>
    <row r="1676" spans="6:6" x14ac:dyDescent="0.25">
      <c r="F1676" s="268"/>
    </row>
    <row r="1677" spans="6:6" x14ac:dyDescent="0.25">
      <c r="F1677" s="268"/>
    </row>
    <row r="1678" spans="6:6" x14ac:dyDescent="0.25">
      <c r="F1678" s="268"/>
    </row>
    <row r="1679" spans="6:6" x14ac:dyDescent="0.25">
      <c r="F1679" s="268"/>
    </row>
    <row r="1680" spans="6:6" x14ac:dyDescent="0.25">
      <c r="F1680" s="268"/>
    </row>
    <row r="1681" spans="6:6" x14ac:dyDescent="0.25">
      <c r="F1681" s="268"/>
    </row>
    <row r="1682" spans="6:6" x14ac:dyDescent="0.25">
      <c r="F1682" s="268"/>
    </row>
    <row r="1683" spans="6:6" x14ac:dyDescent="0.25">
      <c r="F1683" s="268"/>
    </row>
    <row r="1684" spans="6:6" x14ac:dyDescent="0.25">
      <c r="F1684" s="268"/>
    </row>
    <row r="1685" spans="6:6" x14ac:dyDescent="0.25">
      <c r="F1685" s="268"/>
    </row>
    <row r="1686" spans="6:6" x14ac:dyDescent="0.25">
      <c r="F1686" s="268"/>
    </row>
    <row r="1687" spans="6:6" x14ac:dyDescent="0.25">
      <c r="F1687" s="268"/>
    </row>
    <row r="1688" spans="6:6" x14ac:dyDescent="0.25">
      <c r="F1688" s="268"/>
    </row>
    <row r="1689" spans="6:6" x14ac:dyDescent="0.25">
      <c r="F1689" s="268"/>
    </row>
    <row r="1690" spans="6:6" x14ac:dyDescent="0.25">
      <c r="F1690" s="268"/>
    </row>
    <row r="1691" spans="6:6" x14ac:dyDescent="0.25">
      <c r="F1691" s="268"/>
    </row>
    <row r="1692" spans="6:6" x14ac:dyDescent="0.25">
      <c r="F1692" s="268"/>
    </row>
    <row r="1693" spans="6:6" x14ac:dyDescent="0.25">
      <c r="F1693" s="268"/>
    </row>
    <row r="1694" spans="6:6" x14ac:dyDescent="0.25">
      <c r="F1694" s="268"/>
    </row>
    <row r="1695" spans="6:6" x14ac:dyDescent="0.25">
      <c r="F1695" s="268"/>
    </row>
    <row r="1696" spans="6:6" x14ac:dyDescent="0.25">
      <c r="F1696" s="268"/>
    </row>
    <row r="1697" spans="6:6" x14ac:dyDescent="0.25">
      <c r="F1697" s="268"/>
    </row>
    <row r="1698" spans="6:6" x14ac:dyDescent="0.25">
      <c r="F1698" s="268"/>
    </row>
    <row r="1699" spans="6:6" x14ac:dyDescent="0.25">
      <c r="F1699" s="268"/>
    </row>
    <row r="1700" spans="6:6" x14ac:dyDescent="0.25">
      <c r="F1700" s="268"/>
    </row>
    <row r="1701" spans="6:6" x14ac:dyDescent="0.25">
      <c r="F1701" s="268"/>
    </row>
    <row r="1702" spans="6:6" x14ac:dyDescent="0.25">
      <c r="F1702" s="268"/>
    </row>
    <row r="1703" spans="6:6" x14ac:dyDescent="0.25">
      <c r="F1703" s="268"/>
    </row>
    <row r="1704" spans="6:6" x14ac:dyDescent="0.25">
      <c r="F1704" s="268"/>
    </row>
    <row r="1705" spans="6:6" x14ac:dyDescent="0.25">
      <c r="F1705" s="268"/>
    </row>
    <row r="1706" spans="6:6" x14ac:dyDescent="0.25">
      <c r="F1706" s="268"/>
    </row>
    <row r="1707" spans="6:6" x14ac:dyDescent="0.25">
      <c r="F1707" s="268"/>
    </row>
    <row r="1708" spans="6:6" x14ac:dyDescent="0.25">
      <c r="F1708" s="268"/>
    </row>
    <row r="1709" spans="6:6" x14ac:dyDescent="0.25">
      <c r="F1709" s="268"/>
    </row>
    <row r="1710" spans="6:6" x14ac:dyDescent="0.25">
      <c r="F1710" s="268"/>
    </row>
    <row r="1711" spans="6:6" x14ac:dyDescent="0.25">
      <c r="F1711" s="268"/>
    </row>
    <row r="1712" spans="6:6" x14ac:dyDescent="0.25">
      <c r="F1712" s="268"/>
    </row>
    <row r="1713" spans="6:6" x14ac:dyDescent="0.25">
      <c r="F1713" s="268"/>
    </row>
    <row r="1714" spans="6:6" x14ac:dyDescent="0.25">
      <c r="F1714" s="268"/>
    </row>
    <row r="1715" spans="6:6" x14ac:dyDescent="0.25">
      <c r="F1715" s="268"/>
    </row>
    <row r="1716" spans="6:6" x14ac:dyDescent="0.25">
      <c r="F1716" s="268"/>
    </row>
    <row r="1717" spans="6:6" x14ac:dyDescent="0.25">
      <c r="F1717" s="268"/>
    </row>
    <row r="1718" spans="6:6" x14ac:dyDescent="0.25">
      <c r="F1718" s="268"/>
    </row>
    <row r="1719" spans="6:6" x14ac:dyDescent="0.25">
      <c r="F1719" s="268"/>
    </row>
    <row r="1720" spans="6:6" x14ac:dyDescent="0.25">
      <c r="F1720" s="268"/>
    </row>
    <row r="1721" spans="6:6" x14ac:dyDescent="0.25">
      <c r="F1721" s="268"/>
    </row>
    <row r="1722" spans="6:6" x14ac:dyDescent="0.25">
      <c r="F1722" s="268"/>
    </row>
    <row r="1723" spans="6:6" x14ac:dyDescent="0.25">
      <c r="F1723" s="268"/>
    </row>
    <row r="1724" spans="6:6" x14ac:dyDescent="0.25">
      <c r="F1724" s="268"/>
    </row>
    <row r="1725" spans="6:6" x14ac:dyDescent="0.25">
      <c r="F1725" s="268"/>
    </row>
    <row r="1726" spans="6:6" x14ac:dyDescent="0.25">
      <c r="F1726" s="268"/>
    </row>
    <row r="1727" spans="6:6" x14ac:dyDescent="0.25">
      <c r="F1727" s="268"/>
    </row>
    <row r="1728" spans="6:6" x14ac:dyDescent="0.25">
      <c r="F1728" s="268"/>
    </row>
    <row r="1729" spans="6:6" x14ac:dyDescent="0.25">
      <c r="F1729" s="268"/>
    </row>
    <row r="1730" spans="6:6" x14ac:dyDescent="0.25">
      <c r="F1730" s="268"/>
    </row>
    <row r="1731" spans="6:6" x14ac:dyDescent="0.25">
      <c r="F1731" s="268"/>
    </row>
    <row r="1732" spans="6:6" x14ac:dyDescent="0.25">
      <c r="F1732" s="268"/>
    </row>
    <row r="1733" spans="6:6" x14ac:dyDescent="0.25">
      <c r="F1733" s="268"/>
    </row>
    <row r="1734" spans="6:6" x14ac:dyDescent="0.25">
      <c r="F1734" s="268"/>
    </row>
    <row r="1735" spans="6:6" x14ac:dyDescent="0.25">
      <c r="F1735" s="268"/>
    </row>
    <row r="1736" spans="6:6" x14ac:dyDescent="0.25">
      <c r="F1736" s="268"/>
    </row>
    <row r="1737" spans="6:6" x14ac:dyDescent="0.25">
      <c r="F1737" s="268"/>
    </row>
    <row r="1738" spans="6:6" x14ac:dyDescent="0.25">
      <c r="F1738" s="268"/>
    </row>
    <row r="1739" spans="6:6" x14ac:dyDescent="0.25">
      <c r="F1739" s="268"/>
    </row>
    <row r="1740" spans="6:6" x14ac:dyDescent="0.25">
      <c r="F1740" s="268"/>
    </row>
    <row r="1741" spans="6:6" x14ac:dyDescent="0.25">
      <c r="F1741" s="268"/>
    </row>
    <row r="1742" spans="6:6" x14ac:dyDescent="0.25">
      <c r="F1742" s="268"/>
    </row>
    <row r="1743" spans="6:6" x14ac:dyDescent="0.25">
      <c r="F1743" s="268"/>
    </row>
    <row r="1744" spans="6:6" x14ac:dyDescent="0.25">
      <c r="F1744" s="268"/>
    </row>
    <row r="1745" spans="6:6" x14ac:dyDescent="0.25">
      <c r="F1745" s="268"/>
    </row>
    <row r="1746" spans="6:6" x14ac:dyDescent="0.25">
      <c r="F1746" s="268"/>
    </row>
    <row r="1747" spans="6:6" x14ac:dyDescent="0.25">
      <c r="F1747" s="268"/>
    </row>
    <row r="1748" spans="6:6" x14ac:dyDescent="0.25">
      <c r="F1748" s="268"/>
    </row>
    <row r="1749" spans="6:6" x14ac:dyDescent="0.25">
      <c r="F1749" s="268"/>
    </row>
    <row r="1750" spans="6:6" x14ac:dyDescent="0.25">
      <c r="F1750" s="268"/>
    </row>
    <row r="1751" spans="6:6" x14ac:dyDescent="0.25">
      <c r="F1751" s="268"/>
    </row>
    <row r="1752" spans="6:6" x14ac:dyDescent="0.25">
      <c r="F1752" s="268"/>
    </row>
    <row r="1753" spans="6:6" x14ac:dyDescent="0.25">
      <c r="F1753" s="268"/>
    </row>
    <row r="1754" spans="6:6" x14ac:dyDescent="0.25">
      <c r="F1754" s="268"/>
    </row>
    <row r="1755" spans="6:6" x14ac:dyDescent="0.25">
      <c r="F1755" s="268"/>
    </row>
    <row r="1756" spans="6:6" x14ac:dyDescent="0.25">
      <c r="F1756" s="268"/>
    </row>
    <row r="1757" spans="6:6" x14ac:dyDescent="0.25">
      <c r="F1757" s="268"/>
    </row>
    <row r="1758" spans="6:6" x14ac:dyDescent="0.25">
      <c r="F1758" s="268"/>
    </row>
    <row r="1759" spans="6:6" x14ac:dyDescent="0.25">
      <c r="F1759" s="268"/>
    </row>
    <row r="1760" spans="6:6" x14ac:dyDescent="0.25">
      <c r="F1760" s="268"/>
    </row>
    <row r="1761" spans="6:6" x14ac:dyDescent="0.25">
      <c r="F1761" s="268"/>
    </row>
    <row r="1762" spans="6:6" x14ac:dyDescent="0.25">
      <c r="F1762" s="268"/>
    </row>
    <row r="1763" spans="6:6" x14ac:dyDescent="0.25">
      <c r="F1763" s="268"/>
    </row>
    <row r="1764" spans="6:6" x14ac:dyDescent="0.25">
      <c r="F1764" s="268"/>
    </row>
    <row r="1765" spans="6:6" x14ac:dyDescent="0.25">
      <c r="F1765" s="268"/>
    </row>
    <row r="1766" spans="6:6" x14ac:dyDescent="0.25">
      <c r="F1766" s="268"/>
    </row>
    <row r="1767" spans="6:6" x14ac:dyDescent="0.25">
      <c r="F1767" s="268"/>
    </row>
    <row r="1768" spans="6:6" x14ac:dyDescent="0.25">
      <c r="F1768" s="268"/>
    </row>
    <row r="1769" spans="6:6" x14ac:dyDescent="0.25">
      <c r="F1769" s="268"/>
    </row>
    <row r="1770" spans="6:6" x14ac:dyDescent="0.25">
      <c r="F1770" s="268"/>
    </row>
    <row r="1771" spans="6:6" x14ac:dyDescent="0.25">
      <c r="F1771" s="268"/>
    </row>
    <row r="1772" spans="6:6" x14ac:dyDescent="0.25">
      <c r="F1772" s="268"/>
    </row>
    <row r="1773" spans="6:6" x14ac:dyDescent="0.25">
      <c r="F1773" s="268"/>
    </row>
    <row r="1774" spans="6:6" x14ac:dyDescent="0.25">
      <c r="F1774" s="268"/>
    </row>
    <row r="1775" spans="6:6" x14ac:dyDescent="0.25">
      <c r="F1775" s="268"/>
    </row>
    <row r="1776" spans="6:6" x14ac:dyDescent="0.25">
      <c r="F1776" s="268"/>
    </row>
    <row r="1777" spans="6:6" x14ac:dyDescent="0.25">
      <c r="F1777" s="268"/>
    </row>
    <row r="1778" spans="6:6" x14ac:dyDescent="0.25">
      <c r="F1778" s="268"/>
    </row>
    <row r="1779" spans="6:6" x14ac:dyDescent="0.25">
      <c r="F1779" s="268"/>
    </row>
    <row r="1780" spans="6:6" x14ac:dyDescent="0.25">
      <c r="F1780" s="268"/>
    </row>
    <row r="1781" spans="6:6" x14ac:dyDescent="0.25">
      <c r="F1781" s="268"/>
    </row>
    <row r="1782" spans="6:6" x14ac:dyDescent="0.25">
      <c r="F1782" s="268"/>
    </row>
    <row r="1783" spans="6:6" x14ac:dyDescent="0.25">
      <c r="F1783" s="268"/>
    </row>
    <row r="1784" spans="6:6" x14ac:dyDescent="0.25">
      <c r="F1784" s="268"/>
    </row>
    <row r="1785" spans="6:6" x14ac:dyDescent="0.25">
      <c r="F1785" s="268"/>
    </row>
    <row r="1786" spans="6:6" x14ac:dyDescent="0.25">
      <c r="F1786" s="268"/>
    </row>
    <row r="1787" spans="6:6" x14ac:dyDescent="0.25">
      <c r="F1787" s="268"/>
    </row>
    <row r="1788" spans="6:6" x14ac:dyDescent="0.25">
      <c r="F1788" s="268"/>
    </row>
    <row r="1789" spans="6:6" x14ac:dyDescent="0.25">
      <c r="F1789" s="268"/>
    </row>
    <row r="1790" spans="6:6" x14ac:dyDescent="0.25">
      <c r="F1790" s="268"/>
    </row>
    <row r="1791" spans="6:6" x14ac:dyDescent="0.25">
      <c r="F1791" s="268"/>
    </row>
    <row r="1792" spans="6:6" x14ac:dyDescent="0.25">
      <c r="F1792" s="268"/>
    </row>
    <row r="1793" spans="6:6" x14ac:dyDescent="0.25">
      <c r="F1793" s="268"/>
    </row>
    <row r="1794" spans="6:6" x14ac:dyDescent="0.25">
      <c r="F1794" s="268"/>
    </row>
    <row r="1795" spans="6:6" x14ac:dyDescent="0.25">
      <c r="F1795" s="268"/>
    </row>
    <row r="1796" spans="6:6" x14ac:dyDescent="0.25">
      <c r="F1796" s="268"/>
    </row>
    <row r="1797" spans="6:6" x14ac:dyDescent="0.25">
      <c r="F1797" s="268"/>
    </row>
    <row r="1798" spans="6:6" x14ac:dyDescent="0.25">
      <c r="F1798" s="268"/>
    </row>
    <row r="1799" spans="6:6" x14ac:dyDescent="0.25">
      <c r="F1799" s="268"/>
    </row>
    <row r="1800" spans="6:6" x14ac:dyDescent="0.25">
      <c r="F1800" s="268"/>
    </row>
    <row r="1801" spans="6:6" x14ac:dyDescent="0.25">
      <c r="F1801" s="268"/>
    </row>
    <row r="1802" spans="6:6" x14ac:dyDescent="0.25">
      <c r="F1802" s="268"/>
    </row>
    <row r="1803" spans="6:6" x14ac:dyDescent="0.25">
      <c r="F1803" s="268"/>
    </row>
    <row r="1804" spans="6:6" x14ac:dyDescent="0.25">
      <c r="F1804" s="268"/>
    </row>
    <row r="1805" spans="6:6" x14ac:dyDescent="0.25">
      <c r="F1805" s="268"/>
    </row>
    <row r="1806" spans="6:6" x14ac:dyDescent="0.25">
      <c r="F1806" s="268"/>
    </row>
    <row r="1807" spans="6:6" x14ac:dyDescent="0.25">
      <c r="F1807" s="268"/>
    </row>
    <row r="1808" spans="6:6" x14ac:dyDescent="0.25">
      <c r="F1808" s="268"/>
    </row>
    <row r="1809" spans="6:6" x14ac:dyDescent="0.25">
      <c r="F1809" s="268"/>
    </row>
    <row r="1810" spans="6:6" x14ac:dyDescent="0.25">
      <c r="F1810" s="268"/>
    </row>
    <row r="1811" spans="6:6" x14ac:dyDescent="0.25">
      <c r="F1811" s="268"/>
    </row>
    <row r="1812" spans="6:6" x14ac:dyDescent="0.25">
      <c r="F1812" s="268"/>
    </row>
    <row r="1813" spans="6:6" x14ac:dyDescent="0.25">
      <c r="F1813" s="268"/>
    </row>
    <row r="1814" spans="6:6" x14ac:dyDescent="0.25">
      <c r="F1814" s="268"/>
    </row>
    <row r="1815" spans="6:6" x14ac:dyDescent="0.25">
      <c r="F1815" s="268"/>
    </row>
    <row r="1816" spans="6:6" x14ac:dyDescent="0.25">
      <c r="F1816" s="268"/>
    </row>
    <row r="1817" spans="6:6" x14ac:dyDescent="0.25">
      <c r="F1817" s="268"/>
    </row>
    <row r="1818" spans="6:6" x14ac:dyDescent="0.25">
      <c r="F1818" s="268"/>
    </row>
    <row r="1819" spans="6:6" x14ac:dyDescent="0.25">
      <c r="F1819" s="268"/>
    </row>
    <row r="1820" spans="6:6" x14ac:dyDescent="0.25">
      <c r="F1820" s="268"/>
    </row>
    <row r="1821" spans="6:6" x14ac:dyDescent="0.25">
      <c r="F1821" s="268"/>
    </row>
    <row r="1822" spans="6:6" x14ac:dyDescent="0.25">
      <c r="F1822" s="268"/>
    </row>
    <row r="1823" spans="6:6" x14ac:dyDescent="0.25">
      <c r="F1823" s="268"/>
    </row>
    <row r="1824" spans="6:6" x14ac:dyDescent="0.25">
      <c r="F1824" s="268"/>
    </row>
    <row r="1825" spans="6:6" x14ac:dyDescent="0.25">
      <c r="F1825" s="268"/>
    </row>
    <row r="1826" spans="6:6" x14ac:dyDescent="0.25">
      <c r="F1826" s="268"/>
    </row>
    <row r="1827" spans="6:6" x14ac:dyDescent="0.25">
      <c r="F1827" s="268"/>
    </row>
    <row r="1828" spans="6:6" x14ac:dyDescent="0.25">
      <c r="F1828" s="268"/>
    </row>
    <row r="1829" spans="6:6" x14ac:dyDescent="0.25">
      <c r="F1829" s="268"/>
    </row>
    <row r="1830" spans="6:6" x14ac:dyDescent="0.25">
      <c r="F1830" s="268"/>
    </row>
    <row r="1831" spans="6:6" x14ac:dyDescent="0.25">
      <c r="F1831" s="268"/>
    </row>
    <row r="1832" spans="6:6" x14ac:dyDescent="0.25">
      <c r="F1832" s="268"/>
    </row>
    <row r="1833" spans="6:6" x14ac:dyDescent="0.25">
      <c r="F1833" s="268"/>
    </row>
    <row r="1834" spans="6:6" x14ac:dyDescent="0.25">
      <c r="F1834" s="268"/>
    </row>
    <row r="1835" spans="6:6" x14ac:dyDescent="0.25">
      <c r="F1835" s="268"/>
    </row>
    <row r="1836" spans="6:6" x14ac:dyDescent="0.25">
      <c r="F1836" s="268"/>
    </row>
    <row r="1837" spans="6:6" x14ac:dyDescent="0.25">
      <c r="F1837" s="268"/>
    </row>
    <row r="1838" spans="6:6" x14ac:dyDescent="0.25">
      <c r="F1838" s="268"/>
    </row>
    <row r="1839" spans="6:6" x14ac:dyDescent="0.25">
      <c r="F1839" s="268"/>
    </row>
    <row r="1840" spans="6:6" x14ac:dyDescent="0.25">
      <c r="F1840" s="268"/>
    </row>
    <row r="1841" spans="6:6" x14ac:dyDescent="0.25">
      <c r="F1841" s="268"/>
    </row>
    <row r="1842" spans="6:6" x14ac:dyDescent="0.25">
      <c r="F1842" s="268"/>
    </row>
    <row r="1843" spans="6:6" x14ac:dyDescent="0.25">
      <c r="F1843" s="268"/>
    </row>
    <row r="1844" spans="6:6" x14ac:dyDescent="0.25">
      <c r="F1844" s="268"/>
    </row>
    <row r="1845" spans="6:6" x14ac:dyDescent="0.25">
      <c r="F1845" s="268"/>
    </row>
    <row r="1846" spans="6:6" x14ac:dyDescent="0.25">
      <c r="F1846" s="268"/>
    </row>
    <row r="1847" spans="6:6" x14ac:dyDescent="0.25">
      <c r="F1847" s="268"/>
    </row>
    <row r="1848" spans="6:6" x14ac:dyDescent="0.25">
      <c r="F1848" s="268"/>
    </row>
    <row r="1849" spans="6:6" x14ac:dyDescent="0.25">
      <c r="F1849" s="268"/>
    </row>
    <row r="1850" spans="6:6" x14ac:dyDescent="0.25">
      <c r="F1850" s="268"/>
    </row>
    <row r="1851" spans="6:6" x14ac:dyDescent="0.25">
      <c r="F1851" s="268"/>
    </row>
    <row r="1852" spans="6:6" x14ac:dyDescent="0.25">
      <c r="F1852" s="268"/>
    </row>
    <row r="1853" spans="6:6" x14ac:dyDescent="0.25">
      <c r="F1853" s="268"/>
    </row>
    <row r="1854" spans="6:6" x14ac:dyDescent="0.25">
      <c r="F1854" s="268"/>
    </row>
    <row r="1855" spans="6:6" x14ac:dyDescent="0.25">
      <c r="F1855" s="268"/>
    </row>
    <row r="1856" spans="6:6" x14ac:dyDescent="0.25">
      <c r="F1856" s="268"/>
    </row>
    <row r="1857" spans="6:6" x14ac:dyDescent="0.25">
      <c r="F1857" s="268"/>
    </row>
    <row r="1858" spans="6:6" x14ac:dyDescent="0.25">
      <c r="F1858" s="268"/>
    </row>
    <row r="1859" spans="6:6" x14ac:dyDescent="0.25">
      <c r="F1859" s="268"/>
    </row>
    <row r="1860" spans="6:6" x14ac:dyDescent="0.25">
      <c r="F1860" s="268"/>
    </row>
    <row r="1861" spans="6:6" x14ac:dyDescent="0.25">
      <c r="F1861" s="268"/>
    </row>
    <row r="1862" spans="6:6" x14ac:dyDescent="0.25">
      <c r="F1862" s="268"/>
    </row>
    <row r="1863" spans="6:6" x14ac:dyDescent="0.25">
      <c r="F1863" s="268"/>
    </row>
    <row r="1864" spans="6:6" x14ac:dyDescent="0.25">
      <c r="F1864" s="268"/>
    </row>
    <row r="1865" spans="6:6" x14ac:dyDescent="0.25">
      <c r="F1865" s="268"/>
    </row>
    <row r="1866" spans="6:6" x14ac:dyDescent="0.25">
      <c r="F1866" s="268"/>
    </row>
    <row r="1867" spans="6:6" x14ac:dyDescent="0.25">
      <c r="F1867" s="268"/>
    </row>
    <row r="1868" spans="6:6" x14ac:dyDescent="0.25">
      <c r="F1868" s="268"/>
    </row>
    <row r="1869" spans="6:6" x14ac:dyDescent="0.25">
      <c r="F1869" s="268"/>
    </row>
    <row r="1870" spans="6:6" x14ac:dyDescent="0.25">
      <c r="F1870" s="268"/>
    </row>
    <row r="1871" spans="6:6" x14ac:dyDescent="0.25">
      <c r="F1871" s="268"/>
    </row>
    <row r="1872" spans="6:6" x14ac:dyDescent="0.25">
      <c r="F1872" s="268"/>
    </row>
    <row r="1873" spans="6:6" x14ac:dyDescent="0.25">
      <c r="F1873" s="268"/>
    </row>
    <row r="1874" spans="6:6" x14ac:dyDescent="0.25">
      <c r="F1874" s="268"/>
    </row>
    <row r="1875" spans="6:6" x14ac:dyDescent="0.25">
      <c r="F1875" s="268"/>
    </row>
    <row r="1876" spans="6:6" x14ac:dyDescent="0.25">
      <c r="F1876" s="268"/>
    </row>
  </sheetData>
  <mergeCells count="3">
    <mergeCell ref="A1:G1"/>
    <mergeCell ref="H76:Q76"/>
    <mergeCell ref="F262:G262"/>
  </mergeCells>
  <conditionalFormatting sqref="F249:X249">
    <cfRule type="cellIs" dxfId="12" priority="5" stopIfTrue="1" operator="greaterThan">
      <formula>15</formula>
    </cfRule>
  </conditionalFormatting>
  <conditionalFormatting sqref="B83">
    <cfRule type="cellIs" dxfId="11" priority="4" stopIfTrue="1" operator="equal">
      <formula>LokalesPersonal</formula>
    </cfRule>
  </conditionalFormatting>
  <conditionalFormatting sqref="B91:B92">
    <cfRule type="cellIs" dxfId="10" priority="3" stopIfTrue="1" operator="equal">
      <formula>LokalesPersonal</formula>
    </cfRule>
  </conditionalFormatting>
  <conditionalFormatting sqref="B93:B96">
    <cfRule type="cellIs" dxfId="9" priority="2" stopIfTrue="1" operator="equal">
      <formula>LokalesPersonal</formula>
    </cfRule>
  </conditionalFormatting>
  <conditionalFormatting sqref="B104 B134">
    <cfRule type="cellIs" dxfId="8" priority="1" stopIfTrue="1" operator="equal">
      <formula>0</formula>
    </cfRule>
  </conditionalFormatting>
  <printOptions horizontalCentered="1"/>
  <pageMargins left="0.31496062992125984" right="0.31496062992125984" top="0.74803149606299213" bottom="0.51181102362204722" header="0.51181102362204722" footer="0.51181102362204722"/>
  <pageSetup paperSize="9" scale="4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84"/>
  <sheetViews>
    <sheetView zoomScale="90" zoomScaleNormal="90" zoomScaleSheetLayoutView="100" workbookViewId="0">
      <pane ySplit="14" topLeftCell="A250" activePane="bottomLeft" state="frozen"/>
      <selection pane="bottomLeft" activeCell="G262" sqref="G262"/>
    </sheetView>
  </sheetViews>
  <sheetFormatPr defaultColWidth="11.44140625" defaultRowHeight="13.2" x14ac:dyDescent="0.25"/>
  <cols>
    <col min="1" max="1" width="6.33203125" style="74" customWidth="1"/>
    <col min="2" max="2" width="37.44140625" style="35" customWidth="1"/>
    <col min="3" max="3" width="11.33203125" style="267" customWidth="1"/>
    <col min="4" max="4" width="10.44140625" style="266" bestFit="1" customWidth="1"/>
    <col min="5" max="5" width="12.109375" style="265" customWidth="1"/>
    <col min="6" max="6" width="12.88671875" style="265" customWidth="1"/>
    <col min="7" max="7" width="10.5546875" style="35" bestFit="1" customWidth="1"/>
    <col min="8" max="17" width="10.109375" style="35" hidden="1" customWidth="1"/>
    <col min="18" max="19" width="14.33203125" style="35" hidden="1" customWidth="1"/>
    <col min="20" max="24" width="10.109375" style="35" hidden="1" customWidth="1"/>
    <col min="25" max="25" width="18.33203125" style="35" customWidth="1"/>
    <col min="26" max="16384" width="11.44140625" style="35"/>
  </cols>
  <sheetData>
    <row r="1" spans="1:27" x14ac:dyDescent="0.25">
      <c r="A1" s="860" t="s">
        <v>66</v>
      </c>
      <c r="B1" s="845"/>
      <c r="C1" s="845"/>
      <c r="D1" s="845"/>
      <c r="E1" s="845"/>
      <c r="F1" s="845"/>
      <c r="G1" s="846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7" x14ac:dyDescent="0.25">
      <c r="A2" s="376"/>
      <c r="B2" s="72"/>
      <c r="C2" s="72"/>
      <c r="D2" s="72"/>
      <c r="E2" s="72">
        <v>2</v>
      </c>
      <c r="F2" s="72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7" x14ac:dyDescent="0.25">
      <c r="A3" s="74" t="s">
        <v>10</v>
      </c>
      <c r="F3" s="268"/>
    </row>
    <row r="4" spans="1:27" x14ac:dyDescent="0.25">
      <c r="B4" s="79" t="s">
        <v>25</v>
      </c>
      <c r="C4" s="415">
        <f>1/0.708</f>
        <v>1.4124293785310735</v>
      </c>
      <c r="E4" s="267"/>
      <c r="F4" s="268"/>
      <c r="Y4" s="81"/>
    </row>
    <row r="5" spans="1:27" x14ac:dyDescent="0.25">
      <c r="B5" s="82" t="s">
        <v>172</v>
      </c>
      <c r="F5" s="268"/>
    </row>
    <row r="6" spans="1:27" x14ac:dyDescent="0.25">
      <c r="B6" s="83"/>
    </row>
    <row r="7" spans="1:27" x14ac:dyDescent="0.25">
      <c r="A7" s="74" t="s">
        <v>23</v>
      </c>
      <c r="C7" s="294" t="s">
        <v>531</v>
      </c>
    </row>
    <row r="8" spans="1:27" x14ac:dyDescent="0.25">
      <c r="A8" s="74" t="s">
        <v>67</v>
      </c>
      <c r="C8" s="83" t="s">
        <v>391</v>
      </c>
    </row>
    <row r="9" spans="1:27" x14ac:dyDescent="0.25">
      <c r="A9" s="74" t="s">
        <v>68</v>
      </c>
      <c r="C9" s="113" t="str">
        <f>Consolidated!C9</f>
        <v xml:space="preserve">Humanitarian Response for People Affected by the Syrian Conflict </v>
      </c>
      <c r="D9" s="325"/>
      <c r="E9" s="324"/>
    </row>
    <row r="10" spans="1:27" x14ac:dyDescent="0.25">
      <c r="A10" s="74" t="s">
        <v>56</v>
      </c>
      <c r="C10" s="113" t="str">
        <f>Consolidated!C10</f>
        <v>January 1st 2019-December 31st 2019</v>
      </c>
    </row>
    <row r="11" spans="1:27" x14ac:dyDescent="0.25">
      <c r="B11" s="74"/>
      <c r="C11" s="358" t="s">
        <v>30</v>
      </c>
      <c r="D11" s="357" t="s">
        <v>31</v>
      </c>
      <c r="E11" s="376" t="s">
        <v>0</v>
      </c>
      <c r="F11" s="374" t="s">
        <v>69</v>
      </c>
      <c r="G11" s="374" t="s">
        <v>69</v>
      </c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88"/>
      <c r="Z11" s="88"/>
      <c r="AA11" s="88"/>
    </row>
    <row r="12" spans="1:27" x14ac:dyDescent="0.25">
      <c r="B12" s="74"/>
      <c r="C12" s="358"/>
      <c r="D12" s="357"/>
      <c r="E12" s="376"/>
      <c r="F12" s="374" t="s">
        <v>5</v>
      </c>
      <c r="G12" s="374" t="s">
        <v>5</v>
      </c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88"/>
      <c r="Z12" s="88"/>
      <c r="AA12" s="88"/>
    </row>
    <row r="13" spans="1:27" x14ac:dyDescent="0.25">
      <c r="A13" s="89" t="s">
        <v>47</v>
      </c>
      <c r="C13" s="358" t="s">
        <v>1</v>
      </c>
      <c r="D13" s="357" t="s">
        <v>2</v>
      </c>
      <c r="E13" s="356" t="s">
        <v>532</v>
      </c>
      <c r="F13" s="356" t="s">
        <v>20</v>
      </c>
      <c r="G13" s="91" t="s">
        <v>4</v>
      </c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88"/>
      <c r="Z13" s="88"/>
      <c r="AA13" s="88"/>
    </row>
    <row r="14" spans="1:27" s="93" customFormat="1" x14ac:dyDescent="0.25">
      <c r="A14" s="92"/>
      <c r="C14" s="394"/>
      <c r="D14" s="393"/>
      <c r="E14" s="392"/>
      <c r="F14" s="392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</row>
    <row r="15" spans="1:27" s="1" customFormat="1" x14ac:dyDescent="0.25">
      <c r="A15" s="98"/>
      <c r="C15" s="391"/>
      <c r="D15" s="390"/>
      <c r="E15" s="389"/>
      <c r="F15" s="389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</row>
    <row r="16" spans="1:27" s="107" customFormat="1" hidden="1" x14ac:dyDescent="0.25">
      <c r="A16" s="103" t="s">
        <v>21</v>
      </c>
      <c r="B16" s="39"/>
      <c r="C16" s="384"/>
      <c r="D16" s="383"/>
      <c r="E16" s="382"/>
      <c r="F16" s="320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s="107" customFormat="1" hidden="1" x14ac:dyDescent="0.25">
      <c r="A17" s="103" t="s">
        <v>32</v>
      </c>
      <c r="B17" s="108" t="s">
        <v>33</v>
      </c>
      <c r="C17" s="103" t="s">
        <v>174</v>
      </c>
      <c r="D17" s="103" t="s">
        <v>65</v>
      </c>
      <c r="E17" s="382"/>
      <c r="F17" s="320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9"/>
      <c r="Z17" s="39"/>
    </row>
    <row r="18" spans="1:26" s="107" customFormat="1" hidden="1" x14ac:dyDescent="0.25">
      <c r="A18" s="109"/>
      <c r="B18" s="110"/>
      <c r="C18" s="326" t="s">
        <v>175</v>
      </c>
      <c r="D18" s="388"/>
      <c r="E18" s="382"/>
      <c r="F18" s="385">
        <v>0</v>
      </c>
      <c r="G18" s="326">
        <f>F18*C4</f>
        <v>0</v>
      </c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9"/>
      <c r="Z18" s="39"/>
    </row>
    <row r="19" spans="1:26" s="107" customFormat="1" hidden="1" x14ac:dyDescent="0.25">
      <c r="A19" s="109"/>
      <c r="B19" s="110"/>
      <c r="C19" s="326" t="s">
        <v>176</v>
      </c>
      <c r="D19" s="388"/>
      <c r="E19" s="382"/>
      <c r="F19" s="385">
        <v>0</v>
      </c>
      <c r="G19" s="326">
        <f>F19*C4</f>
        <v>0</v>
      </c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9"/>
      <c r="Z19" s="39"/>
    </row>
    <row r="20" spans="1:26" s="107" customFormat="1" hidden="1" x14ac:dyDescent="0.25">
      <c r="A20" s="109"/>
      <c r="B20" s="110"/>
      <c r="C20" s="326" t="s">
        <v>177</v>
      </c>
      <c r="D20" s="388"/>
      <c r="E20" s="382"/>
      <c r="F20" s="385">
        <v>0</v>
      </c>
      <c r="G20" s="326">
        <f>F20*C4</f>
        <v>0</v>
      </c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9"/>
      <c r="Z20" s="39"/>
    </row>
    <row r="21" spans="1:26" s="107" customFormat="1" hidden="1" x14ac:dyDescent="0.25">
      <c r="A21" s="109"/>
      <c r="B21" s="110"/>
      <c r="C21" s="326" t="s">
        <v>178</v>
      </c>
      <c r="D21" s="388"/>
      <c r="E21" s="382"/>
      <c r="F21" s="385">
        <v>0</v>
      </c>
      <c r="G21" s="326">
        <f>F21*C4</f>
        <v>0</v>
      </c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9"/>
      <c r="Z21" s="39"/>
    </row>
    <row r="22" spans="1:26" s="107" customFormat="1" hidden="1" x14ac:dyDescent="0.25">
      <c r="A22" s="109"/>
      <c r="B22" s="110"/>
      <c r="C22" s="326" t="s">
        <v>179</v>
      </c>
      <c r="D22" s="388"/>
      <c r="E22" s="382"/>
      <c r="F22" s="385">
        <v>0</v>
      </c>
      <c r="G22" s="326">
        <f>F22*C4</f>
        <v>0</v>
      </c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9"/>
      <c r="Z22" s="39"/>
    </row>
    <row r="23" spans="1:26" s="107" customFormat="1" hidden="1" x14ac:dyDescent="0.25">
      <c r="A23" s="109"/>
      <c r="B23" s="110"/>
      <c r="C23" s="326" t="s">
        <v>180</v>
      </c>
      <c r="D23" s="388"/>
      <c r="E23" s="382"/>
      <c r="F23" s="385">
        <v>0</v>
      </c>
      <c r="G23" s="326">
        <f>F23*C4</f>
        <v>0</v>
      </c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9"/>
      <c r="Z23" s="39"/>
    </row>
    <row r="24" spans="1:26" s="107" customFormat="1" hidden="1" x14ac:dyDescent="0.25">
      <c r="A24" s="109"/>
      <c r="B24" s="110"/>
      <c r="C24" s="326" t="s">
        <v>181</v>
      </c>
      <c r="D24" s="388"/>
      <c r="E24" s="382"/>
      <c r="F24" s="385">
        <v>0</v>
      </c>
      <c r="G24" s="326">
        <f>F24*C4</f>
        <v>0</v>
      </c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9"/>
      <c r="Z24" s="39"/>
    </row>
    <row r="25" spans="1:26" s="107" customFormat="1" hidden="1" x14ac:dyDescent="0.25">
      <c r="A25" s="109"/>
      <c r="B25" s="110"/>
      <c r="C25" s="326" t="s">
        <v>182</v>
      </c>
      <c r="D25" s="388"/>
      <c r="E25" s="382"/>
      <c r="F25" s="385">
        <v>0</v>
      </c>
      <c r="G25" s="326">
        <f>F25*C4</f>
        <v>0</v>
      </c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9"/>
      <c r="Z25" s="39"/>
    </row>
    <row r="26" spans="1:26" s="107" customFormat="1" hidden="1" x14ac:dyDescent="0.25">
      <c r="A26" s="109"/>
      <c r="B26" s="110"/>
      <c r="C26" s="326" t="s">
        <v>183</v>
      </c>
      <c r="D26" s="388"/>
      <c r="E26" s="382"/>
      <c r="F26" s="385">
        <v>0</v>
      </c>
      <c r="G26" s="326">
        <f>F26*C4</f>
        <v>0</v>
      </c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9"/>
      <c r="Z26" s="39"/>
    </row>
    <row r="27" spans="1:26" s="107" customFormat="1" hidden="1" x14ac:dyDescent="0.25">
      <c r="A27" s="109"/>
      <c r="B27" s="110"/>
      <c r="C27" s="326" t="s">
        <v>184</v>
      </c>
      <c r="D27" s="388"/>
      <c r="E27" s="382"/>
      <c r="F27" s="385">
        <v>0</v>
      </c>
      <c r="G27" s="326">
        <f>F27*C4</f>
        <v>0</v>
      </c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9"/>
      <c r="Z27" s="39"/>
    </row>
    <row r="28" spans="1:26" s="107" customFormat="1" hidden="1" x14ac:dyDescent="0.25">
      <c r="A28" s="103"/>
      <c r="B28" s="108" t="s">
        <v>173</v>
      </c>
      <c r="C28" s="384"/>
      <c r="D28" s="383"/>
      <c r="E28" s="382"/>
      <c r="F28" s="326">
        <f>SUM(F18:F27)</f>
        <v>0</v>
      </c>
      <c r="G28" s="326">
        <f>SUM(G18:G27)</f>
        <v>0</v>
      </c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9"/>
      <c r="Z28" s="39"/>
    </row>
    <row r="29" spans="1:26" s="107" customFormat="1" hidden="1" x14ac:dyDescent="0.25">
      <c r="A29" s="103"/>
      <c r="B29" s="113"/>
      <c r="C29" s="384"/>
      <c r="D29" s="383"/>
      <c r="E29" s="382"/>
      <c r="F29" s="320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9"/>
      <c r="Z29" s="39"/>
    </row>
    <row r="30" spans="1:26" s="107" customFormat="1" hidden="1" x14ac:dyDescent="0.25">
      <c r="A30" s="103" t="s">
        <v>34</v>
      </c>
      <c r="B30" s="39"/>
      <c r="C30" s="384"/>
      <c r="D30" s="383"/>
      <c r="E30" s="382"/>
      <c r="F30" s="320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9"/>
      <c r="Z30" s="39"/>
    </row>
    <row r="31" spans="1:26" s="107" customFormat="1" hidden="1" x14ac:dyDescent="0.25">
      <c r="A31" s="103" t="s">
        <v>32</v>
      </c>
      <c r="B31" s="108" t="s">
        <v>33</v>
      </c>
      <c r="C31" s="384" t="s">
        <v>174</v>
      </c>
      <c r="D31" s="383"/>
      <c r="E31" s="382"/>
      <c r="F31" s="320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9"/>
      <c r="Z31" s="39"/>
    </row>
    <row r="32" spans="1:26" s="107" customFormat="1" hidden="1" x14ac:dyDescent="0.25">
      <c r="A32" s="114"/>
      <c r="B32" s="110"/>
      <c r="C32" s="386"/>
      <c r="D32" s="383"/>
      <c r="E32" s="382"/>
      <c r="F32" s="385">
        <v>0</v>
      </c>
      <c r="G32" s="326">
        <f>(C4)*F32</f>
        <v>0</v>
      </c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9"/>
      <c r="Z32" s="39"/>
    </row>
    <row r="33" spans="1:26" s="107" customFormat="1" hidden="1" x14ac:dyDescent="0.25">
      <c r="A33" s="114"/>
      <c r="B33" s="110"/>
      <c r="C33" s="386"/>
      <c r="D33" s="383"/>
      <c r="E33" s="382"/>
      <c r="F33" s="385">
        <v>0</v>
      </c>
      <c r="G33" s="326">
        <f>F33*C4</f>
        <v>0</v>
      </c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9"/>
      <c r="Z33" s="39"/>
    </row>
    <row r="34" spans="1:26" s="107" customFormat="1" hidden="1" x14ac:dyDescent="0.25">
      <c r="A34" s="114"/>
      <c r="B34" s="110"/>
      <c r="C34" s="386"/>
      <c r="D34" s="383"/>
      <c r="E34" s="382"/>
      <c r="F34" s="385">
        <v>0</v>
      </c>
      <c r="G34" s="326">
        <f>F34*C4</f>
        <v>0</v>
      </c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9"/>
      <c r="Z34" s="39"/>
    </row>
    <row r="35" spans="1:26" s="107" customFormat="1" hidden="1" x14ac:dyDescent="0.25">
      <c r="A35" s="114"/>
      <c r="B35" s="110"/>
      <c r="C35" s="386"/>
      <c r="D35" s="383"/>
      <c r="E35" s="382"/>
      <c r="F35" s="385">
        <v>0</v>
      </c>
      <c r="G35" s="326">
        <f>F35*C4</f>
        <v>0</v>
      </c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9"/>
      <c r="Z35" s="39"/>
    </row>
    <row r="36" spans="1:26" s="107" customFormat="1" hidden="1" x14ac:dyDescent="0.25">
      <c r="A36" s="114"/>
      <c r="B36" s="110"/>
      <c r="C36" s="386"/>
      <c r="D36" s="383"/>
      <c r="E36" s="382"/>
      <c r="F36" s="385">
        <v>0</v>
      </c>
      <c r="G36" s="326">
        <f>F36*C4</f>
        <v>0</v>
      </c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9"/>
      <c r="Z36" s="39"/>
    </row>
    <row r="37" spans="1:26" s="107" customFormat="1" hidden="1" x14ac:dyDescent="0.25">
      <c r="A37" s="114"/>
      <c r="B37" s="110"/>
      <c r="C37" s="386"/>
      <c r="D37" s="383"/>
      <c r="E37" s="382"/>
      <c r="F37" s="385">
        <v>0</v>
      </c>
      <c r="G37" s="326">
        <f>F37*C4</f>
        <v>0</v>
      </c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9"/>
      <c r="Z37" s="39"/>
    </row>
    <row r="38" spans="1:26" s="107" customFormat="1" hidden="1" x14ac:dyDescent="0.25">
      <c r="A38" s="114"/>
      <c r="B38" s="110"/>
      <c r="C38" s="386"/>
      <c r="D38" s="383"/>
      <c r="E38" s="382"/>
      <c r="F38" s="385">
        <v>0</v>
      </c>
      <c r="G38" s="326">
        <f>F38*C4</f>
        <v>0</v>
      </c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9"/>
      <c r="Z38" s="39"/>
    </row>
    <row r="39" spans="1:26" s="107" customFormat="1" hidden="1" x14ac:dyDescent="0.25">
      <c r="A39" s="114"/>
      <c r="B39" s="110"/>
      <c r="C39" s="386"/>
      <c r="D39" s="383"/>
      <c r="E39" s="382"/>
      <c r="F39" s="385">
        <v>0</v>
      </c>
      <c r="G39" s="326">
        <f>F39*C4</f>
        <v>0</v>
      </c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9"/>
      <c r="Z39" s="39"/>
    </row>
    <row r="40" spans="1:26" s="107" customFormat="1" hidden="1" x14ac:dyDescent="0.25">
      <c r="A40" s="114"/>
      <c r="B40" s="110"/>
      <c r="C40" s="386"/>
      <c r="D40" s="383"/>
      <c r="E40" s="382"/>
      <c r="F40" s="385">
        <v>0</v>
      </c>
      <c r="G40" s="326">
        <f>F40*C4</f>
        <v>0</v>
      </c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9"/>
      <c r="Z40" s="39"/>
    </row>
    <row r="41" spans="1:26" s="107" customFormat="1" hidden="1" x14ac:dyDescent="0.25">
      <c r="A41" s="114"/>
      <c r="B41" s="110"/>
      <c r="C41" s="386"/>
      <c r="D41" s="383"/>
      <c r="E41" s="382"/>
      <c r="F41" s="385">
        <v>0</v>
      </c>
      <c r="G41" s="326">
        <f>F41*C4</f>
        <v>0</v>
      </c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9"/>
      <c r="Z41" s="39"/>
    </row>
    <row r="42" spans="1:26" s="107" customFormat="1" hidden="1" x14ac:dyDescent="0.25">
      <c r="A42" s="103"/>
      <c r="B42" s="108" t="s">
        <v>173</v>
      </c>
      <c r="C42" s="384"/>
      <c r="D42" s="383"/>
      <c r="E42" s="382"/>
      <c r="F42" s="326">
        <f>SUM(F32:F41)</f>
        <v>0</v>
      </c>
      <c r="G42" s="326">
        <f>SUM(G32:G41)</f>
        <v>0</v>
      </c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9"/>
      <c r="Z42" s="39"/>
    </row>
    <row r="43" spans="1:26" s="107" customFormat="1" hidden="1" x14ac:dyDescent="0.25">
      <c r="A43" s="103"/>
      <c r="B43" s="103" t="s">
        <v>64</v>
      </c>
      <c r="C43" s="384"/>
      <c r="D43" s="383"/>
      <c r="E43" s="382"/>
      <c r="F43" s="387">
        <v>0</v>
      </c>
      <c r="G43" s="326">
        <f>F43*C4</f>
        <v>0</v>
      </c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9"/>
      <c r="Z43" s="39"/>
    </row>
    <row r="44" spans="1:26" s="107" customFormat="1" hidden="1" x14ac:dyDescent="0.25">
      <c r="A44" s="103"/>
      <c r="B44" s="39"/>
      <c r="C44" s="384"/>
      <c r="D44" s="383"/>
      <c r="E44" s="382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9"/>
      <c r="Z44" s="39"/>
    </row>
    <row r="45" spans="1:26" s="107" customFormat="1" hidden="1" x14ac:dyDescent="0.25">
      <c r="A45" s="103" t="s">
        <v>35</v>
      </c>
      <c r="B45" s="39"/>
      <c r="C45" s="384"/>
      <c r="D45" s="383"/>
      <c r="E45" s="382"/>
      <c r="F45" s="320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9"/>
      <c r="Z45" s="39"/>
    </row>
    <row r="46" spans="1:26" s="107" customFormat="1" hidden="1" x14ac:dyDescent="0.25">
      <c r="A46" s="103" t="s">
        <v>32</v>
      </c>
      <c r="B46" s="108" t="s">
        <v>33</v>
      </c>
      <c r="C46" s="384" t="s">
        <v>174</v>
      </c>
      <c r="D46" s="383"/>
      <c r="E46" s="382"/>
      <c r="F46" s="320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9"/>
      <c r="Z46" s="39"/>
    </row>
    <row r="47" spans="1:26" s="107" customFormat="1" hidden="1" x14ac:dyDescent="0.25">
      <c r="A47" s="114"/>
      <c r="B47" s="110"/>
      <c r="C47" s="386"/>
      <c r="D47" s="383"/>
      <c r="E47" s="382"/>
      <c r="F47" s="385">
        <v>0</v>
      </c>
      <c r="G47" s="326">
        <f>F47*C4</f>
        <v>0</v>
      </c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9"/>
      <c r="Z47" s="39"/>
    </row>
    <row r="48" spans="1:26" s="107" customFormat="1" hidden="1" x14ac:dyDescent="0.25">
      <c r="A48" s="114"/>
      <c r="B48" s="110"/>
      <c r="C48" s="386"/>
      <c r="D48" s="383"/>
      <c r="E48" s="382"/>
      <c r="F48" s="385">
        <v>0</v>
      </c>
      <c r="G48" s="326">
        <f>F48*C4</f>
        <v>0</v>
      </c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9"/>
      <c r="Z48" s="39"/>
    </row>
    <row r="49" spans="1:26" s="107" customFormat="1" hidden="1" x14ac:dyDescent="0.25">
      <c r="A49" s="114"/>
      <c r="B49" s="110"/>
      <c r="C49" s="386"/>
      <c r="D49" s="383"/>
      <c r="E49" s="382"/>
      <c r="F49" s="385">
        <v>0</v>
      </c>
      <c r="G49" s="326">
        <f>F49*C4</f>
        <v>0</v>
      </c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9"/>
      <c r="Z49" s="39"/>
    </row>
    <row r="50" spans="1:26" s="107" customFormat="1" hidden="1" x14ac:dyDescent="0.25">
      <c r="A50" s="114"/>
      <c r="B50" s="110"/>
      <c r="C50" s="386"/>
      <c r="D50" s="383"/>
      <c r="E50" s="382"/>
      <c r="F50" s="385">
        <v>0</v>
      </c>
      <c r="G50" s="326">
        <f>F50*C4</f>
        <v>0</v>
      </c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9"/>
      <c r="Z50" s="39"/>
    </row>
    <row r="51" spans="1:26" s="107" customFormat="1" hidden="1" x14ac:dyDescent="0.25">
      <c r="A51" s="114"/>
      <c r="B51" s="110"/>
      <c r="C51" s="386"/>
      <c r="D51" s="383"/>
      <c r="E51" s="382"/>
      <c r="F51" s="385">
        <v>0</v>
      </c>
      <c r="G51" s="326">
        <f>F51*C4</f>
        <v>0</v>
      </c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9"/>
      <c r="Z51" s="39"/>
    </row>
    <row r="52" spans="1:26" s="107" customFormat="1" hidden="1" x14ac:dyDescent="0.25">
      <c r="A52" s="114"/>
      <c r="B52" s="110"/>
      <c r="C52" s="386"/>
      <c r="D52" s="383"/>
      <c r="E52" s="382"/>
      <c r="F52" s="385">
        <v>0</v>
      </c>
      <c r="G52" s="326">
        <f>F52*C4</f>
        <v>0</v>
      </c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9"/>
      <c r="Z52" s="39"/>
    </row>
    <row r="53" spans="1:26" s="107" customFormat="1" hidden="1" x14ac:dyDescent="0.25">
      <c r="A53" s="114"/>
      <c r="B53" s="110"/>
      <c r="C53" s="386"/>
      <c r="D53" s="383"/>
      <c r="E53" s="382"/>
      <c r="F53" s="385">
        <v>0</v>
      </c>
      <c r="G53" s="326">
        <f>F53*C4</f>
        <v>0</v>
      </c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9"/>
      <c r="Z53" s="39"/>
    </row>
    <row r="54" spans="1:26" s="107" customFormat="1" hidden="1" x14ac:dyDescent="0.25">
      <c r="A54" s="114"/>
      <c r="B54" s="110"/>
      <c r="C54" s="386"/>
      <c r="D54" s="383"/>
      <c r="E54" s="382"/>
      <c r="F54" s="385">
        <v>0</v>
      </c>
      <c r="G54" s="326">
        <f>F54*C4</f>
        <v>0</v>
      </c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9"/>
      <c r="Z54" s="39"/>
    </row>
    <row r="55" spans="1:26" s="107" customFormat="1" hidden="1" x14ac:dyDescent="0.25">
      <c r="A55" s="114"/>
      <c r="B55" s="110"/>
      <c r="C55" s="386"/>
      <c r="D55" s="383"/>
      <c r="E55" s="382"/>
      <c r="F55" s="385">
        <v>0</v>
      </c>
      <c r="G55" s="326">
        <f>F55*C4</f>
        <v>0</v>
      </c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9"/>
      <c r="Z55" s="39"/>
    </row>
    <row r="56" spans="1:26" s="107" customFormat="1" hidden="1" x14ac:dyDescent="0.25">
      <c r="A56" s="114"/>
      <c r="B56" s="110"/>
      <c r="C56" s="386"/>
      <c r="D56" s="383"/>
      <c r="E56" s="382"/>
      <c r="F56" s="385">
        <v>0</v>
      </c>
      <c r="G56" s="326">
        <f>F56*C4</f>
        <v>0</v>
      </c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9"/>
      <c r="Z56" s="39"/>
    </row>
    <row r="57" spans="1:26" s="107" customFormat="1" hidden="1" x14ac:dyDescent="0.25">
      <c r="A57" s="103"/>
      <c r="B57" s="108" t="s">
        <v>173</v>
      </c>
      <c r="C57" s="384"/>
      <c r="D57" s="383"/>
      <c r="E57" s="382"/>
      <c r="F57" s="371">
        <f>SUM(F47:F56)</f>
        <v>0</v>
      </c>
      <c r="G57" s="326">
        <f>SUM(G47:G56)</f>
        <v>0</v>
      </c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9"/>
      <c r="Z57" s="39"/>
    </row>
    <row r="58" spans="1:26" s="107" customFormat="1" hidden="1" x14ac:dyDescent="0.25">
      <c r="A58" s="103"/>
      <c r="B58" s="39"/>
      <c r="C58" s="384"/>
      <c r="D58" s="383"/>
      <c r="E58" s="382"/>
      <c r="F58" s="320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  <c r="T58" s="326"/>
      <c r="U58" s="326"/>
      <c r="V58" s="326"/>
      <c r="W58" s="326"/>
      <c r="X58" s="326"/>
      <c r="Y58" s="39"/>
      <c r="Z58" s="39"/>
    </row>
    <row r="59" spans="1:26" s="107" customFormat="1" hidden="1" x14ac:dyDescent="0.25">
      <c r="A59" s="103" t="s">
        <v>22</v>
      </c>
      <c r="B59" s="39"/>
      <c r="C59" s="384"/>
      <c r="D59" s="383"/>
      <c r="E59" s="382"/>
      <c r="F59" s="326"/>
      <c r="G59" s="326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  <c r="T59" s="326"/>
      <c r="U59" s="326"/>
      <c r="V59" s="326"/>
      <c r="W59" s="326"/>
      <c r="X59" s="326"/>
      <c r="Y59" s="39"/>
      <c r="Z59" s="39"/>
    </row>
    <row r="60" spans="1:26" s="107" customFormat="1" hidden="1" x14ac:dyDescent="0.25">
      <c r="A60" s="103" t="s">
        <v>32</v>
      </c>
      <c r="B60" s="108" t="s">
        <v>33</v>
      </c>
      <c r="C60" s="384" t="s">
        <v>174</v>
      </c>
      <c r="D60" s="383"/>
      <c r="E60" s="382"/>
      <c r="F60" s="320"/>
      <c r="G60" s="326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  <c r="T60" s="326"/>
      <c r="U60" s="326"/>
      <c r="V60" s="326"/>
      <c r="W60" s="326"/>
      <c r="X60" s="326"/>
      <c r="Y60" s="39"/>
      <c r="Z60" s="39"/>
    </row>
    <row r="61" spans="1:26" s="107" customFormat="1" hidden="1" x14ac:dyDescent="0.25">
      <c r="A61" s="114"/>
      <c r="B61" s="110"/>
      <c r="C61" s="386"/>
      <c r="D61" s="383"/>
      <c r="E61" s="382"/>
      <c r="F61" s="385">
        <v>0</v>
      </c>
      <c r="G61" s="326">
        <f>F61*C4</f>
        <v>0</v>
      </c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  <c r="T61" s="326"/>
      <c r="U61" s="326"/>
      <c r="V61" s="326"/>
      <c r="W61" s="326"/>
      <c r="X61" s="326"/>
      <c r="Y61" s="39"/>
      <c r="Z61" s="39"/>
    </row>
    <row r="62" spans="1:26" s="107" customFormat="1" hidden="1" x14ac:dyDescent="0.25">
      <c r="A62" s="114"/>
      <c r="B62" s="110"/>
      <c r="C62" s="386"/>
      <c r="D62" s="383"/>
      <c r="E62" s="382"/>
      <c r="F62" s="385">
        <v>0</v>
      </c>
      <c r="G62" s="326">
        <f>F62*C4</f>
        <v>0</v>
      </c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9"/>
      <c r="Z62" s="39"/>
    </row>
    <row r="63" spans="1:26" s="107" customFormat="1" hidden="1" x14ac:dyDescent="0.25">
      <c r="A63" s="114"/>
      <c r="B63" s="110"/>
      <c r="C63" s="386"/>
      <c r="D63" s="383"/>
      <c r="E63" s="382"/>
      <c r="F63" s="385">
        <v>0</v>
      </c>
      <c r="G63" s="326">
        <f>F63*C4</f>
        <v>0</v>
      </c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9"/>
      <c r="Z63" s="39"/>
    </row>
    <row r="64" spans="1:26" s="107" customFormat="1" hidden="1" x14ac:dyDescent="0.25">
      <c r="A64" s="114"/>
      <c r="B64" s="110"/>
      <c r="C64" s="386"/>
      <c r="D64" s="383"/>
      <c r="E64" s="382"/>
      <c r="F64" s="385">
        <v>0</v>
      </c>
      <c r="G64" s="326">
        <f>F64*C4</f>
        <v>0</v>
      </c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6"/>
      <c r="Y64" s="39"/>
      <c r="Z64" s="39"/>
    </row>
    <row r="65" spans="1:26" s="107" customFormat="1" hidden="1" x14ac:dyDescent="0.25">
      <c r="A65" s="114"/>
      <c r="B65" s="110"/>
      <c r="C65" s="386"/>
      <c r="D65" s="383"/>
      <c r="E65" s="382"/>
      <c r="F65" s="385">
        <v>0</v>
      </c>
      <c r="G65" s="326">
        <f>F65*C4</f>
        <v>0</v>
      </c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  <c r="T65" s="326"/>
      <c r="U65" s="326"/>
      <c r="V65" s="326"/>
      <c r="W65" s="326"/>
      <c r="X65" s="326"/>
      <c r="Y65" s="39"/>
      <c r="Z65" s="39"/>
    </row>
    <row r="66" spans="1:26" s="107" customFormat="1" hidden="1" x14ac:dyDescent="0.25">
      <c r="A66" s="114"/>
      <c r="B66" s="110"/>
      <c r="C66" s="386"/>
      <c r="D66" s="383"/>
      <c r="E66" s="382"/>
      <c r="F66" s="385">
        <v>0</v>
      </c>
      <c r="G66" s="326">
        <f>F66*C4</f>
        <v>0</v>
      </c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  <c r="T66" s="326"/>
      <c r="U66" s="326"/>
      <c r="V66" s="326"/>
      <c r="W66" s="326"/>
      <c r="X66" s="326"/>
      <c r="Y66" s="39"/>
      <c r="Z66" s="39"/>
    </row>
    <row r="67" spans="1:26" s="107" customFormat="1" hidden="1" x14ac:dyDescent="0.25">
      <c r="A67" s="114"/>
      <c r="B67" s="110"/>
      <c r="C67" s="386"/>
      <c r="D67" s="383"/>
      <c r="E67" s="382"/>
      <c r="F67" s="385">
        <v>0</v>
      </c>
      <c r="G67" s="326">
        <f>F67*C4</f>
        <v>0</v>
      </c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6"/>
      <c r="Y67" s="39"/>
      <c r="Z67" s="39"/>
    </row>
    <row r="68" spans="1:26" s="107" customFormat="1" hidden="1" x14ac:dyDescent="0.25">
      <c r="A68" s="114"/>
      <c r="B68" s="110"/>
      <c r="C68" s="386"/>
      <c r="D68" s="383"/>
      <c r="E68" s="382"/>
      <c r="F68" s="385">
        <v>0</v>
      </c>
      <c r="G68" s="326">
        <f>F68*C4</f>
        <v>0</v>
      </c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  <c r="T68" s="326"/>
      <c r="U68" s="326"/>
      <c r="V68" s="326"/>
      <c r="W68" s="326"/>
      <c r="X68" s="326"/>
      <c r="Y68" s="39"/>
      <c r="Z68" s="39"/>
    </row>
    <row r="69" spans="1:26" s="107" customFormat="1" hidden="1" x14ac:dyDescent="0.25">
      <c r="A69" s="114"/>
      <c r="B69" s="110"/>
      <c r="C69" s="386"/>
      <c r="D69" s="383"/>
      <c r="E69" s="382"/>
      <c r="F69" s="385">
        <v>0</v>
      </c>
      <c r="G69" s="326">
        <f>F69*C4</f>
        <v>0</v>
      </c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  <c r="T69" s="326"/>
      <c r="U69" s="326"/>
      <c r="V69" s="326"/>
      <c r="W69" s="326"/>
      <c r="X69" s="326"/>
      <c r="Y69" s="39"/>
      <c r="Z69" s="39"/>
    </row>
    <row r="70" spans="1:26" s="107" customFormat="1" hidden="1" x14ac:dyDescent="0.25">
      <c r="A70" s="114"/>
      <c r="B70" s="110"/>
      <c r="C70" s="386"/>
      <c r="D70" s="383"/>
      <c r="E70" s="382"/>
      <c r="F70" s="385">
        <v>0</v>
      </c>
      <c r="G70" s="326">
        <f>F70*C4</f>
        <v>0</v>
      </c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9"/>
      <c r="Z70" s="39"/>
    </row>
    <row r="71" spans="1:26" s="107" customFormat="1" hidden="1" x14ac:dyDescent="0.25">
      <c r="A71" s="103"/>
      <c r="B71" s="108" t="s">
        <v>173</v>
      </c>
      <c r="C71" s="384"/>
      <c r="D71" s="383"/>
      <c r="E71" s="382"/>
      <c r="F71" s="371">
        <f>SUM(F61:F70)</f>
        <v>0</v>
      </c>
      <c r="G71" s="326">
        <f>SUM(G61:G70)</f>
        <v>0</v>
      </c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  <c r="T71" s="326"/>
      <c r="U71" s="326"/>
      <c r="V71" s="326"/>
      <c r="W71" s="326"/>
      <c r="X71" s="326"/>
      <c r="Y71" s="39"/>
      <c r="Z71" s="39"/>
    </row>
    <row r="72" spans="1:26" s="107" customFormat="1" hidden="1" x14ac:dyDescent="0.25">
      <c r="A72" s="103"/>
      <c r="B72" s="39"/>
      <c r="C72" s="384"/>
      <c r="D72" s="383"/>
      <c r="E72" s="382"/>
      <c r="F72" s="320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s="107" customFormat="1" ht="13.8" hidden="1" thickBot="1" x14ac:dyDescent="0.3">
      <c r="A73" s="117" t="s">
        <v>3</v>
      </c>
      <c r="B73" s="117"/>
      <c r="C73" s="282"/>
      <c r="D73" s="381"/>
      <c r="E73" s="380"/>
      <c r="F73" s="279">
        <f>SUM(F28+F42+F43+F57+F71)</f>
        <v>0</v>
      </c>
      <c r="G73" s="279">
        <f>SUM(G28+G42+G43+G57+G71)</f>
        <v>0</v>
      </c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39"/>
      <c r="Z73" s="39"/>
    </row>
    <row r="74" spans="1:26" s="107" customFormat="1" x14ac:dyDescent="0.25">
      <c r="A74" s="103"/>
      <c r="B74" s="103"/>
      <c r="C74" s="294"/>
      <c r="D74" s="379"/>
      <c r="E74" s="378"/>
      <c r="F74" s="377"/>
      <c r="G74" s="377"/>
      <c r="H74" s="377"/>
      <c r="I74" s="377"/>
      <c r="J74" s="377"/>
      <c r="K74" s="377"/>
      <c r="L74" s="377"/>
      <c r="M74" s="377"/>
      <c r="N74" s="377"/>
      <c r="O74" s="377"/>
      <c r="P74" s="377"/>
      <c r="Q74" s="377"/>
      <c r="R74" s="377"/>
      <c r="S74" s="377"/>
      <c r="T74" s="377"/>
      <c r="U74" s="377"/>
      <c r="V74" s="377"/>
      <c r="W74" s="377"/>
      <c r="X74" s="377"/>
      <c r="Y74" s="39"/>
      <c r="Z74" s="39"/>
    </row>
    <row r="75" spans="1:26" s="39" customFormat="1" ht="13.8" thickBot="1" x14ac:dyDescent="0.3">
      <c r="A75" s="74" t="s">
        <v>6</v>
      </c>
      <c r="B75" s="103"/>
      <c r="C75" s="294"/>
      <c r="D75" s="293"/>
      <c r="E75" s="292"/>
      <c r="F75" s="320"/>
    </row>
    <row r="76" spans="1:26" ht="13.8" thickBot="1" x14ac:dyDescent="0.3">
      <c r="A76" s="35"/>
      <c r="B76" s="74" t="s">
        <v>306</v>
      </c>
      <c r="F76" s="374" t="s">
        <v>69</v>
      </c>
      <c r="G76" s="374" t="s">
        <v>69</v>
      </c>
      <c r="H76" s="847" t="s">
        <v>185</v>
      </c>
      <c r="I76" s="848"/>
      <c r="J76" s="848"/>
      <c r="K76" s="848"/>
      <c r="L76" s="848"/>
      <c r="M76" s="848"/>
      <c r="N76" s="848"/>
      <c r="O76" s="848"/>
      <c r="P76" s="848"/>
      <c r="Q76" s="849"/>
      <c r="R76" s="374" t="s">
        <v>302</v>
      </c>
      <c r="S76" s="374" t="s">
        <v>303</v>
      </c>
      <c r="T76" s="374" t="s">
        <v>303</v>
      </c>
      <c r="U76" s="374" t="s">
        <v>302</v>
      </c>
      <c r="V76" s="374" t="s">
        <v>303</v>
      </c>
      <c r="W76" s="91" t="s">
        <v>303</v>
      </c>
      <c r="X76" s="91" t="s">
        <v>305</v>
      </c>
    </row>
    <row r="77" spans="1:26" ht="13.8" thickBot="1" x14ac:dyDescent="0.3">
      <c r="A77" s="35"/>
      <c r="B77" s="74"/>
      <c r="F77" s="374" t="s">
        <v>5</v>
      </c>
      <c r="G77" s="374" t="s">
        <v>5</v>
      </c>
      <c r="H77" s="375" t="s">
        <v>175</v>
      </c>
      <c r="I77" s="375" t="s">
        <v>176</v>
      </c>
      <c r="J77" s="375" t="s">
        <v>177</v>
      </c>
      <c r="K77" s="375" t="s">
        <v>178</v>
      </c>
      <c r="L77" s="375" t="s">
        <v>179</v>
      </c>
      <c r="M77" s="375" t="s">
        <v>180</v>
      </c>
      <c r="N77" s="375" t="s">
        <v>181</v>
      </c>
      <c r="O77" s="375" t="s">
        <v>182</v>
      </c>
      <c r="P77" s="375" t="s">
        <v>183</v>
      </c>
      <c r="Q77" s="375" t="s">
        <v>184</v>
      </c>
      <c r="R77" s="356"/>
      <c r="S77" s="374"/>
      <c r="T77" s="374"/>
      <c r="U77" s="374"/>
      <c r="V77" s="374"/>
      <c r="W77" s="88"/>
      <c r="X77" s="88"/>
    </row>
    <row r="78" spans="1:26" x14ac:dyDescent="0.25">
      <c r="B78" s="74"/>
      <c r="F78" s="356" t="s">
        <v>532</v>
      </c>
      <c r="G78" s="91" t="s">
        <v>4</v>
      </c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356" t="s">
        <v>20</v>
      </c>
      <c r="S78" s="356" t="s">
        <v>20</v>
      </c>
      <c r="T78" s="219" t="s">
        <v>304</v>
      </c>
      <c r="U78" s="219" t="s">
        <v>4</v>
      </c>
      <c r="V78" s="219" t="s">
        <v>4</v>
      </c>
      <c r="W78" s="91" t="s">
        <v>304</v>
      </c>
      <c r="X78" s="91"/>
    </row>
    <row r="79" spans="1:26" x14ac:dyDescent="0.25">
      <c r="A79" s="74" t="s">
        <v>83</v>
      </c>
      <c r="B79" s="74"/>
      <c r="C79" s="358"/>
      <c r="D79" s="357"/>
      <c r="E79" s="356"/>
      <c r="F79" s="356"/>
      <c r="G79" s="91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20"/>
      <c r="S79" s="220"/>
      <c r="T79" s="220"/>
      <c r="U79" s="220"/>
      <c r="V79" s="220"/>
      <c r="W79" s="220"/>
      <c r="X79" s="220"/>
    </row>
    <row r="80" spans="1:26" x14ac:dyDescent="0.25">
      <c r="A80" s="129">
        <v>1</v>
      </c>
      <c r="B80" s="130" t="s">
        <v>84</v>
      </c>
      <c r="C80" s="329"/>
      <c r="D80" s="328"/>
      <c r="E80" s="327"/>
      <c r="F80" s="416"/>
      <c r="G80" s="137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21"/>
      <c r="S80" s="221"/>
      <c r="T80" s="221"/>
      <c r="U80" s="221"/>
      <c r="V80" s="221"/>
      <c r="W80" s="221"/>
      <c r="X80" s="221"/>
    </row>
    <row r="81" spans="1:24" x14ac:dyDescent="0.25">
      <c r="A81" s="200">
        <v>1.1000000000000001</v>
      </c>
      <c r="B81" s="113" t="s">
        <v>87</v>
      </c>
      <c r="C81" s="310"/>
      <c r="D81" s="339"/>
      <c r="E81" s="338"/>
      <c r="F81" s="372">
        <v>0</v>
      </c>
      <c r="G81" s="417">
        <f>F81*C4</f>
        <v>0</v>
      </c>
      <c r="H81" s="240"/>
      <c r="I81" s="240"/>
      <c r="J81" s="240"/>
      <c r="K81" s="240"/>
      <c r="L81" s="240"/>
      <c r="M81" s="240"/>
      <c r="N81" s="240"/>
      <c r="O81" s="240"/>
      <c r="P81" s="240"/>
      <c r="Q81" s="249"/>
      <c r="R81" s="263"/>
      <c r="S81" s="222">
        <f>R81-F81</f>
        <v>0</v>
      </c>
      <c r="T81" s="228">
        <f>IF(F81=0,0,S81/F81)</f>
        <v>0</v>
      </c>
      <c r="U81" s="222">
        <f>R81*$C$4</f>
        <v>0</v>
      </c>
      <c r="V81" s="222">
        <f>U81-G81</f>
        <v>0</v>
      </c>
      <c r="W81" s="228">
        <f>IF(G81=0,0,V81/G81)</f>
        <v>0</v>
      </c>
      <c r="X81" s="228"/>
    </row>
    <row r="82" spans="1:24" x14ac:dyDescent="0.25">
      <c r="A82" s="103" t="s">
        <v>110</v>
      </c>
      <c r="B82" s="113"/>
      <c r="C82" s="371"/>
      <c r="D82" s="370"/>
      <c r="E82" s="320"/>
      <c r="F82" s="320"/>
      <c r="G82" s="417"/>
      <c r="H82" s="239"/>
      <c r="I82" s="239"/>
      <c r="J82" s="239"/>
      <c r="K82" s="239"/>
      <c r="L82" s="239"/>
      <c r="M82" s="239"/>
      <c r="N82" s="239"/>
      <c r="O82" s="239"/>
      <c r="P82" s="239"/>
      <c r="Q82" s="250"/>
      <c r="R82" s="255"/>
      <c r="S82" s="222"/>
      <c r="T82" s="228"/>
      <c r="U82" s="222"/>
      <c r="V82" s="222"/>
      <c r="W82" s="228"/>
      <c r="X82" s="228"/>
    </row>
    <row r="83" spans="1:24" hidden="1" x14ac:dyDescent="0.25">
      <c r="A83" s="209" t="s">
        <v>86</v>
      </c>
      <c r="B83" s="46"/>
      <c r="C83" s="310"/>
      <c r="D83" s="339"/>
      <c r="E83" s="338"/>
      <c r="F83" s="369">
        <f t="shared" ref="F83:F88" si="0">D83*E83</f>
        <v>0</v>
      </c>
      <c r="G83" s="417">
        <f>F83*C4</f>
        <v>0</v>
      </c>
      <c r="H83" s="239"/>
      <c r="I83" s="239"/>
      <c r="J83" s="239"/>
      <c r="K83" s="239"/>
      <c r="L83" s="239"/>
      <c r="M83" s="239"/>
      <c r="N83" s="239"/>
      <c r="O83" s="239"/>
      <c r="P83" s="239"/>
      <c r="Q83" s="250"/>
      <c r="R83" s="261"/>
      <c r="S83" s="222">
        <f t="shared" ref="S83:S131" si="1">R83-F83</f>
        <v>0</v>
      </c>
      <c r="T83" s="228">
        <f t="shared" ref="T83:T131" si="2">IF(F83=0,0,S83/F83)</f>
        <v>0</v>
      </c>
      <c r="U83" s="222">
        <f t="shared" ref="U83:U147" si="3">R83*$C$4</f>
        <v>0</v>
      </c>
      <c r="V83" s="222">
        <f t="shared" ref="V83:V147" si="4">U83-G83</f>
        <v>0</v>
      </c>
      <c r="W83" s="228">
        <f t="shared" ref="W83:W147" si="5">IF(G83=0,0,V83/G83)</f>
        <v>0</v>
      </c>
      <c r="X83" s="228"/>
    </row>
    <row r="84" spans="1:24" hidden="1" x14ac:dyDescent="0.25">
      <c r="A84" s="210" t="s">
        <v>89</v>
      </c>
      <c r="B84" s="46"/>
      <c r="C84" s="310"/>
      <c r="D84" s="339"/>
      <c r="E84" s="338"/>
      <c r="F84" s="369">
        <f t="shared" si="0"/>
        <v>0</v>
      </c>
      <c r="G84" s="417">
        <f>F84*C4</f>
        <v>0</v>
      </c>
      <c r="H84" s="239"/>
      <c r="I84" s="239"/>
      <c r="J84" s="239"/>
      <c r="K84" s="239"/>
      <c r="L84" s="239"/>
      <c r="M84" s="239"/>
      <c r="N84" s="239"/>
      <c r="O84" s="239"/>
      <c r="P84" s="239"/>
      <c r="Q84" s="250"/>
      <c r="R84" s="261"/>
      <c r="S84" s="222">
        <f t="shared" si="1"/>
        <v>0</v>
      </c>
      <c r="T84" s="228">
        <f t="shared" si="2"/>
        <v>0</v>
      </c>
      <c r="U84" s="222">
        <f t="shared" si="3"/>
        <v>0</v>
      </c>
      <c r="V84" s="222">
        <f t="shared" si="4"/>
        <v>0</v>
      </c>
      <c r="W84" s="228">
        <f t="shared" si="5"/>
        <v>0</v>
      </c>
      <c r="X84" s="228"/>
    </row>
    <row r="85" spans="1:24" hidden="1" x14ac:dyDescent="0.25">
      <c r="A85" s="210" t="s">
        <v>90</v>
      </c>
      <c r="B85" s="46"/>
      <c r="C85" s="310"/>
      <c r="D85" s="339"/>
      <c r="E85" s="338"/>
      <c r="F85" s="369">
        <f t="shared" si="0"/>
        <v>0</v>
      </c>
      <c r="G85" s="417">
        <f>F85*C4</f>
        <v>0</v>
      </c>
      <c r="H85" s="239"/>
      <c r="I85" s="239"/>
      <c r="J85" s="239"/>
      <c r="K85" s="239"/>
      <c r="L85" s="239"/>
      <c r="M85" s="239"/>
      <c r="N85" s="239"/>
      <c r="O85" s="239"/>
      <c r="P85" s="239"/>
      <c r="Q85" s="250"/>
      <c r="R85" s="261"/>
      <c r="S85" s="222">
        <f t="shared" si="1"/>
        <v>0</v>
      </c>
      <c r="T85" s="228">
        <f t="shared" si="2"/>
        <v>0</v>
      </c>
      <c r="U85" s="222">
        <f t="shared" si="3"/>
        <v>0</v>
      </c>
      <c r="V85" s="222">
        <f t="shared" si="4"/>
        <v>0</v>
      </c>
      <c r="W85" s="228">
        <f t="shared" si="5"/>
        <v>0</v>
      </c>
      <c r="X85" s="228"/>
    </row>
    <row r="86" spans="1:24" hidden="1" x14ac:dyDescent="0.25">
      <c r="A86" s="210" t="s">
        <v>91</v>
      </c>
      <c r="B86" s="46"/>
      <c r="C86" s="310"/>
      <c r="D86" s="339"/>
      <c r="E86" s="338"/>
      <c r="F86" s="369">
        <f t="shared" si="0"/>
        <v>0</v>
      </c>
      <c r="G86" s="417">
        <f>F86*C4</f>
        <v>0</v>
      </c>
      <c r="H86" s="239"/>
      <c r="I86" s="239"/>
      <c r="J86" s="239"/>
      <c r="K86" s="239"/>
      <c r="L86" s="239"/>
      <c r="M86" s="239"/>
      <c r="N86" s="239"/>
      <c r="O86" s="239"/>
      <c r="P86" s="239"/>
      <c r="Q86" s="250"/>
      <c r="R86" s="261"/>
      <c r="S86" s="222">
        <f t="shared" si="1"/>
        <v>0</v>
      </c>
      <c r="T86" s="228">
        <f t="shared" si="2"/>
        <v>0</v>
      </c>
      <c r="U86" s="222">
        <f t="shared" si="3"/>
        <v>0</v>
      </c>
      <c r="V86" s="222">
        <f t="shared" si="4"/>
        <v>0</v>
      </c>
      <c r="W86" s="228">
        <f t="shared" si="5"/>
        <v>0</v>
      </c>
      <c r="X86" s="228"/>
    </row>
    <row r="87" spans="1:24" hidden="1" x14ac:dyDescent="0.25">
      <c r="A87" s="210" t="s">
        <v>92</v>
      </c>
      <c r="B87" s="46"/>
      <c r="C87" s="310"/>
      <c r="D87" s="339"/>
      <c r="E87" s="338"/>
      <c r="F87" s="369">
        <f t="shared" si="0"/>
        <v>0</v>
      </c>
      <c r="G87" s="417">
        <f>F87*C4</f>
        <v>0</v>
      </c>
      <c r="H87" s="239"/>
      <c r="I87" s="239"/>
      <c r="J87" s="239"/>
      <c r="K87" s="239"/>
      <c r="L87" s="239"/>
      <c r="M87" s="239"/>
      <c r="N87" s="239"/>
      <c r="O87" s="239"/>
      <c r="P87" s="239"/>
      <c r="Q87" s="250"/>
      <c r="R87" s="261"/>
      <c r="S87" s="222">
        <f t="shared" si="1"/>
        <v>0</v>
      </c>
      <c r="T87" s="228">
        <f t="shared" si="2"/>
        <v>0</v>
      </c>
      <c r="U87" s="222">
        <f t="shared" si="3"/>
        <v>0</v>
      </c>
      <c r="V87" s="222">
        <f t="shared" si="4"/>
        <v>0</v>
      </c>
      <c r="W87" s="228">
        <f t="shared" si="5"/>
        <v>0</v>
      </c>
      <c r="X87" s="228"/>
    </row>
    <row r="88" spans="1:24" hidden="1" x14ac:dyDescent="0.25">
      <c r="A88" s="210" t="s">
        <v>93</v>
      </c>
      <c r="B88" s="46"/>
      <c r="C88" s="310"/>
      <c r="D88" s="339"/>
      <c r="E88" s="338"/>
      <c r="F88" s="369">
        <f t="shared" si="0"/>
        <v>0</v>
      </c>
      <c r="G88" s="417">
        <f>F88*C4</f>
        <v>0</v>
      </c>
      <c r="H88" s="239"/>
      <c r="I88" s="239"/>
      <c r="J88" s="239"/>
      <c r="K88" s="239"/>
      <c r="L88" s="239"/>
      <c r="M88" s="239"/>
      <c r="N88" s="239"/>
      <c r="O88" s="239"/>
      <c r="P88" s="239"/>
      <c r="Q88" s="250"/>
      <c r="R88" s="261"/>
      <c r="S88" s="222">
        <f t="shared" si="1"/>
        <v>0</v>
      </c>
      <c r="T88" s="228">
        <f t="shared" si="2"/>
        <v>0</v>
      </c>
      <c r="U88" s="222">
        <f t="shared" si="3"/>
        <v>0</v>
      </c>
      <c r="V88" s="222">
        <f t="shared" si="4"/>
        <v>0</v>
      </c>
      <c r="W88" s="228">
        <f t="shared" si="5"/>
        <v>0</v>
      </c>
      <c r="X88" s="228"/>
    </row>
    <row r="89" spans="1:24" x14ac:dyDescent="0.25">
      <c r="A89" s="207"/>
      <c r="B89" s="208"/>
      <c r="C89" s="368"/>
      <c r="D89" s="367"/>
      <c r="E89" s="366"/>
      <c r="F89" s="276"/>
      <c r="G89" s="418"/>
      <c r="H89" s="239"/>
      <c r="I89" s="239"/>
      <c r="J89" s="239"/>
      <c r="K89" s="239"/>
      <c r="L89" s="239"/>
      <c r="M89" s="239"/>
      <c r="N89" s="239"/>
      <c r="O89" s="239"/>
      <c r="P89" s="239"/>
      <c r="Q89" s="250"/>
      <c r="R89" s="256"/>
      <c r="S89" s="222"/>
      <c r="T89" s="228"/>
      <c r="U89" s="222"/>
      <c r="V89" s="222"/>
      <c r="W89" s="228"/>
      <c r="X89" s="228"/>
    </row>
    <row r="90" spans="1:24" x14ac:dyDescent="0.25">
      <c r="A90" s="103" t="s">
        <v>111</v>
      </c>
      <c r="C90" s="326"/>
      <c r="D90" s="325"/>
      <c r="E90" s="324"/>
      <c r="F90" s="276"/>
      <c r="G90" s="418"/>
      <c r="H90" s="239"/>
      <c r="I90" s="239"/>
      <c r="J90" s="239"/>
      <c r="K90" s="239"/>
      <c r="L90" s="239"/>
      <c r="M90" s="239"/>
      <c r="N90" s="239"/>
      <c r="O90" s="239"/>
      <c r="P90" s="239"/>
      <c r="Q90" s="250"/>
      <c r="R90" s="256"/>
      <c r="S90" s="222"/>
      <c r="T90" s="228"/>
      <c r="U90" s="222"/>
      <c r="V90" s="222"/>
      <c r="W90" s="228"/>
      <c r="X90" s="228"/>
    </row>
    <row r="91" spans="1:24" hidden="1" x14ac:dyDescent="0.25">
      <c r="A91" s="81" t="s">
        <v>88</v>
      </c>
      <c r="B91" s="46"/>
      <c r="C91" s="310"/>
      <c r="D91" s="339"/>
      <c r="E91" s="338"/>
      <c r="F91" s="276">
        <f t="shared" ref="F91:F98" si="6">D91*E91</f>
        <v>0</v>
      </c>
      <c r="G91" s="418">
        <f>F91*C4</f>
        <v>0</v>
      </c>
      <c r="H91" s="239"/>
      <c r="I91" s="239"/>
      <c r="J91" s="239"/>
      <c r="K91" s="239"/>
      <c r="L91" s="239"/>
      <c r="M91" s="239"/>
      <c r="N91" s="239"/>
      <c r="O91" s="239"/>
      <c r="P91" s="239"/>
      <c r="Q91" s="250"/>
      <c r="R91" s="261"/>
      <c r="S91" s="222">
        <f t="shared" si="1"/>
        <v>0</v>
      </c>
      <c r="T91" s="228">
        <f t="shared" si="2"/>
        <v>0</v>
      </c>
      <c r="U91" s="222">
        <f t="shared" si="3"/>
        <v>0</v>
      </c>
      <c r="V91" s="222">
        <f t="shared" si="4"/>
        <v>0</v>
      </c>
      <c r="W91" s="228">
        <f t="shared" si="5"/>
        <v>0</v>
      </c>
      <c r="X91" s="228"/>
    </row>
    <row r="92" spans="1:24" x14ac:dyDescent="0.25">
      <c r="A92" s="148" t="s">
        <v>94</v>
      </c>
      <c r="B92" s="46" t="s">
        <v>533</v>
      </c>
      <c r="C92" s="310" t="s">
        <v>399</v>
      </c>
      <c r="D92" s="339">
        <v>12</v>
      </c>
      <c r="E92" s="338">
        <f>(1000+(1000*0.1425)+40+(3000*0.708/12))*0.5</f>
        <v>679.75</v>
      </c>
      <c r="F92" s="276">
        <f t="shared" si="6"/>
        <v>8157</v>
      </c>
      <c r="G92" s="417">
        <f t="shared" ref="G92:G98" si="7">F92/$C$4</f>
        <v>5775.1559999999999</v>
      </c>
      <c r="H92" s="239"/>
      <c r="I92" s="239"/>
      <c r="J92" s="239"/>
      <c r="K92" s="239"/>
      <c r="L92" s="239"/>
      <c r="M92" s="239"/>
      <c r="N92" s="239"/>
      <c r="O92" s="239"/>
      <c r="P92" s="239"/>
      <c r="Q92" s="250"/>
      <c r="R92" s="261"/>
      <c r="S92" s="222">
        <f t="shared" si="1"/>
        <v>-8157</v>
      </c>
      <c r="T92" s="228">
        <f t="shared" si="2"/>
        <v>-1</v>
      </c>
      <c r="U92" s="222">
        <f t="shared" si="3"/>
        <v>0</v>
      </c>
      <c r="V92" s="222">
        <f t="shared" si="4"/>
        <v>-5775.1559999999999</v>
      </c>
      <c r="W92" s="228">
        <f t="shared" si="5"/>
        <v>-1</v>
      </c>
      <c r="X92" s="228"/>
    </row>
    <row r="93" spans="1:24" x14ac:dyDescent="0.25">
      <c r="A93" s="148" t="s">
        <v>95</v>
      </c>
      <c r="B93" s="815" t="s">
        <v>903</v>
      </c>
      <c r="C93" s="310" t="s">
        <v>399</v>
      </c>
      <c r="D93" s="339">
        <v>12</v>
      </c>
      <c r="E93" s="338">
        <f>(1250+(1250*0.1425)+40+(815*0.708/12))*0.3</f>
        <v>454.863</v>
      </c>
      <c r="F93" s="276">
        <f t="shared" si="6"/>
        <v>5458.3559999999998</v>
      </c>
      <c r="G93" s="417">
        <f t="shared" si="7"/>
        <v>3864.5160479999995</v>
      </c>
      <c r="H93" s="239"/>
      <c r="I93" s="239"/>
      <c r="J93" s="239"/>
      <c r="K93" s="239"/>
      <c r="L93" s="239"/>
      <c r="M93" s="239"/>
      <c r="N93" s="239"/>
      <c r="O93" s="239"/>
      <c r="P93" s="239"/>
      <c r="Q93" s="250"/>
      <c r="R93" s="261"/>
      <c r="S93" s="222">
        <f t="shared" si="1"/>
        <v>-5458.3559999999998</v>
      </c>
      <c r="T93" s="228">
        <f t="shared" si="2"/>
        <v>-1</v>
      </c>
      <c r="U93" s="222">
        <f t="shared" si="3"/>
        <v>0</v>
      </c>
      <c r="V93" s="222">
        <f t="shared" si="4"/>
        <v>-3864.5160479999995</v>
      </c>
      <c r="W93" s="228">
        <f t="shared" si="5"/>
        <v>-1</v>
      </c>
      <c r="X93" s="228"/>
    </row>
    <row r="94" spans="1:24" x14ac:dyDescent="0.25">
      <c r="A94" s="148" t="s">
        <v>96</v>
      </c>
      <c r="B94" s="46" t="s">
        <v>534</v>
      </c>
      <c r="C94" s="310" t="s">
        <v>399</v>
      </c>
      <c r="D94" s="339">
        <v>12</v>
      </c>
      <c r="E94" s="338">
        <f>(700+(700*0.1425)+40+(815*0.708/12))*1</f>
        <v>887.83500000000004</v>
      </c>
      <c r="F94" s="276">
        <f t="shared" si="6"/>
        <v>10654.02</v>
      </c>
      <c r="G94" s="417">
        <f t="shared" si="7"/>
        <v>7543.0461599999999</v>
      </c>
      <c r="H94" s="239"/>
      <c r="I94" s="239"/>
      <c r="J94" s="239"/>
      <c r="K94" s="239"/>
      <c r="L94" s="239"/>
      <c r="M94" s="239"/>
      <c r="N94" s="239"/>
      <c r="O94" s="239"/>
      <c r="P94" s="239"/>
      <c r="Q94" s="250"/>
      <c r="R94" s="261"/>
      <c r="S94" s="222">
        <f t="shared" si="1"/>
        <v>-10654.02</v>
      </c>
      <c r="T94" s="228">
        <f t="shared" si="2"/>
        <v>-1</v>
      </c>
      <c r="U94" s="222">
        <f t="shared" si="3"/>
        <v>0</v>
      </c>
      <c r="V94" s="222">
        <f t="shared" si="4"/>
        <v>-7543.0461599999999</v>
      </c>
      <c r="W94" s="228">
        <f t="shared" si="5"/>
        <v>-1</v>
      </c>
      <c r="X94" s="228"/>
    </row>
    <row r="95" spans="1:24" x14ac:dyDescent="0.25">
      <c r="A95" s="148" t="s">
        <v>97</v>
      </c>
      <c r="B95" s="46" t="s">
        <v>535</v>
      </c>
      <c r="C95" s="310" t="s">
        <v>399</v>
      </c>
      <c r="D95" s="339">
        <v>12</v>
      </c>
      <c r="E95" s="338">
        <f>(750+(750*0.1425)+40+(815*0.708/12))*0.5</f>
        <v>472.48</v>
      </c>
      <c r="F95" s="276">
        <f t="shared" si="6"/>
        <v>5669.76</v>
      </c>
      <c r="G95" s="417">
        <f t="shared" si="7"/>
        <v>4014.1900799999999</v>
      </c>
      <c r="H95" s="239"/>
      <c r="I95" s="239"/>
      <c r="J95" s="239"/>
      <c r="K95" s="239"/>
      <c r="L95" s="239"/>
      <c r="M95" s="239"/>
      <c r="N95" s="239"/>
      <c r="O95" s="239"/>
      <c r="P95" s="239"/>
      <c r="Q95" s="250"/>
      <c r="R95" s="261"/>
      <c r="S95" s="222">
        <f t="shared" si="1"/>
        <v>-5669.76</v>
      </c>
      <c r="T95" s="228">
        <f t="shared" si="2"/>
        <v>-1</v>
      </c>
      <c r="U95" s="222">
        <f t="shared" si="3"/>
        <v>0</v>
      </c>
      <c r="V95" s="222">
        <f t="shared" si="4"/>
        <v>-4014.1900799999999</v>
      </c>
      <c r="W95" s="228">
        <f t="shared" si="5"/>
        <v>-1</v>
      </c>
      <c r="X95" s="228"/>
    </row>
    <row r="96" spans="1:24" x14ac:dyDescent="0.25">
      <c r="A96" s="148" t="s">
        <v>98</v>
      </c>
      <c r="B96" s="815" t="s">
        <v>904</v>
      </c>
      <c r="C96" s="310" t="s">
        <v>399</v>
      </c>
      <c r="D96" s="339">
        <v>12</v>
      </c>
      <c r="E96" s="338">
        <f>(1350+(1350*0.1425)+40+(815*0.708/12))*0.3</f>
        <v>489.13799999999998</v>
      </c>
      <c r="F96" s="276">
        <f t="shared" si="6"/>
        <v>5869.6559999999999</v>
      </c>
      <c r="G96" s="417">
        <f t="shared" si="7"/>
        <v>4155.7164480000001</v>
      </c>
      <c r="H96" s="239"/>
      <c r="I96" s="239"/>
      <c r="J96" s="239"/>
      <c r="K96" s="239"/>
      <c r="L96" s="239"/>
      <c r="M96" s="239"/>
      <c r="N96" s="239"/>
      <c r="O96" s="239"/>
      <c r="P96" s="239"/>
      <c r="Q96" s="250"/>
      <c r="R96" s="261"/>
      <c r="S96" s="222">
        <f t="shared" si="1"/>
        <v>-5869.6559999999999</v>
      </c>
      <c r="T96" s="228">
        <f t="shared" si="2"/>
        <v>-1</v>
      </c>
      <c r="U96" s="222">
        <f t="shared" si="3"/>
        <v>0</v>
      </c>
      <c r="V96" s="222">
        <f t="shared" si="4"/>
        <v>-4155.7164480000001</v>
      </c>
      <c r="W96" s="228">
        <f t="shared" si="5"/>
        <v>-1</v>
      </c>
      <c r="X96" s="228"/>
    </row>
    <row r="97" spans="1:24" x14ac:dyDescent="0.25">
      <c r="A97" s="148" t="s">
        <v>443</v>
      </c>
      <c r="B97" s="46" t="s">
        <v>536</v>
      </c>
      <c r="C97" s="310" t="s">
        <v>399</v>
      </c>
      <c r="D97" s="339">
        <v>12</v>
      </c>
      <c r="E97" s="338">
        <f>(1000+(1000*0.1425)+40+(4000*0.708/12))*0.5</f>
        <v>709.25</v>
      </c>
      <c r="F97" s="276">
        <f t="shared" si="6"/>
        <v>8511</v>
      </c>
      <c r="G97" s="417">
        <f t="shared" si="7"/>
        <v>6025.7879999999996</v>
      </c>
      <c r="H97" s="239"/>
      <c r="I97" s="239"/>
      <c r="J97" s="239"/>
      <c r="K97" s="239"/>
      <c r="L97" s="239"/>
      <c r="M97" s="239"/>
      <c r="N97" s="239"/>
      <c r="O97" s="239"/>
      <c r="P97" s="239"/>
      <c r="Q97" s="250"/>
      <c r="R97" s="261"/>
      <c r="S97" s="222"/>
      <c r="T97" s="228"/>
      <c r="U97" s="222"/>
      <c r="V97" s="222"/>
      <c r="W97" s="228"/>
      <c r="X97" s="228"/>
    </row>
    <row r="98" spans="1:24" x14ac:dyDescent="0.25">
      <c r="A98" s="419" t="s">
        <v>445</v>
      </c>
      <c r="B98" s="815" t="s">
        <v>905</v>
      </c>
      <c r="C98" s="310" t="s">
        <v>399</v>
      </c>
      <c r="D98" s="339">
        <v>12</v>
      </c>
      <c r="E98" s="338">
        <f>(1500+(1500*0.1425)+40+(815*0.708/12))*0.5</f>
        <v>900.91750000000002</v>
      </c>
      <c r="F98" s="276">
        <f t="shared" si="6"/>
        <v>10811.01</v>
      </c>
      <c r="G98" s="417">
        <f t="shared" si="7"/>
        <v>7654.1950799999995</v>
      </c>
      <c r="H98" s="239"/>
      <c r="I98" s="239"/>
      <c r="J98" s="239"/>
      <c r="K98" s="239"/>
      <c r="L98" s="239"/>
      <c r="M98" s="239"/>
      <c r="N98" s="239"/>
      <c r="O98" s="239"/>
      <c r="P98" s="239"/>
      <c r="Q98" s="250"/>
      <c r="R98" s="261"/>
      <c r="S98" s="222"/>
      <c r="T98" s="228"/>
      <c r="U98" s="222"/>
      <c r="V98" s="222"/>
      <c r="W98" s="228"/>
      <c r="X98" s="228"/>
    </row>
    <row r="99" spans="1:24" x14ac:dyDescent="0.25">
      <c r="A99" s="148"/>
      <c r="B99" s="46"/>
      <c r="C99" s="310"/>
      <c r="D99" s="339"/>
      <c r="E99" s="338"/>
      <c r="F99" s="276"/>
      <c r="G99" s="417"/>
      <c r="H99" s="239"/>
      <c r="I99" s="239"/>
      <c r="J99" s="239"/>
      <c r="K99" s="239"/>
      <c r="L99" s="239"/>
      <c r="M99" s="239"/>
      <c r="N99" s="239"/>
      <c r="O99" s="239"/>
      <c r="P99" s="239"/>
      <c r="Q99" s="250"/>
      <c r="R99" s="261"/>
      <c r="S99" s="222"/>
      <c r="T99" s="228"/>
      <c r="U99" s="222"/>
      <c r="V99" s="222"/>
      <c r="W99" s="228"/>
      <c r="X99" s="228"/>
    </row>
    <row r="100" spans="1:24" hidden="1" x14ac:dyDescent="0.25">
      <c r="A100" s="91"/>
      <c r="B100" s="149"/>
      <c r="C100" s="365"/>
      <c r="D100" s="364"/>
      <c r="E100" s="363"/>
      <c r="F100" s="276"/>
      <c r="G100" s="420"/>
      <c r="H100" s="238"/>
      <c r="I100" s="238"/>
      <c r="J100" s="238"/>
      <c r="K100" s="238"/>
      <c r="L100" s="238"/>
      <c r="M100" s="238"/>
      <c r="N100" s="238"/>
      <c r="O100" s="238"/>
      <c r="P100" s="238"/>
      <c r="Q100" s="251"/>
      <c r="R100" s="257"/>
      <c r="S100" s="222"/>
      <c r="T100" s="228"/>
      <c r="U100" s="222"/>
      <c r="V100" s="222"/>
      <c r="W100" s="228"/>
      <c r="X100" s="228"/>
    </row>
    <row r="101" spans="1:24" hidden="1" x14ac:dyDescent="0.25">
      <c r="A101" s="201"/>
      <c r="B101" s="202" t="s">
        <v>191</v>
      </c>
      <c r="C101" s="362"/>
      <c r="D101" s="361"/>
      <c r="E101" s="360"/>
      <c r="F101" s="359">
        <f>SUM(F83:F89)</f>
        <v>0</v>
      </c>
      <c r="G101" s="421">
        <f>SUM(G83:G89)</f>
        <v>0</v>
      </c>
      <c r="H101" s="238"/>
      <c r="I101" s="238"/>
      <c r="J101" s="238"/>
      <c r="K101" s="238"/>
      <c r="L101" s="238"/>
      <c r="M101" s="238"/>
      <c r="N101" s="238"/>
      <c r="O101" s="238"/>
      <c r="P101" s="238"/>
      <c r="Q101" s="251"/>
      <c r="R101" s="257"/>
      <c r="S101" s="222">
        <f t="shared" si="1"/>
        <v>0</v>
      </c>
      <c r="T101" s="228">
        <f t="shared" si="2"/>
        <v>0</v>
      </c>
      <c r="U101" s="222">
        <f t="shared" si="3"/>
        <v>0</v>
      </c>
      <c r="V101" s="222">
        <f t="shared" si="4"/>
        <v>0</v>
      </c>
      <c r="W101" s="228">
        <f t="shared" si="5"/>
        <v>0</v>
      </c>
      <c r="X101" s="228"/>
    </row>
    <row r="102" spans="1:24" hidden="1" x14ac:dyDescent="0.25">
      <c r="A102" s="201"/>
      <c r="B102" s="202" t="s">
        <v>190</v>
      </c>
      <c r="C102" s="362"/>
      <c r="D102" s="361"/>
      <c r="E102" s="360"/>
      <c r="F102" s="359">
        <f>SUM(F91:F100)</f>
        <v>55130.802000000003</v>
      </c>
      <c r="G102" s="421">
        <f>SUM(G91:G100)</f>
        <v>39032.607815999996</v>
      </c>
      <c r="H102" s="238"/>
      <c r="I102" s="238"/>
      <c r="J102" s="238"/>
      <c r="K102" s="238"/>
      <c r="L102" s="238"/>
      <c r="M102" s="238"/>
      <c r="N102" s="238"/>
      <c r="O102" s="238"/>
      <c r="P102" s="238"/>
      <c r="Q102" s="251"/>
      <c r="R102" s="257"/>
      <c r="S102" s="222">
        <f t="shared" si="1"/>
        <v>-55130.802000000003</v>
      </c>
      <c r="T102" s="228">
        <f t="shared" si="2"/>
        <v>-1</v>
      </c>
      <c r="U102" s="222">
        <f t="shared" si="3"/>
        <v>0</v>
      </c>
      <c r="V102" s="222">
        <f t="shared" si="4"/>
        <v>-39032.607815999996</v>
      </c>
      <c r="W102" s="228">
        <f t="shared" si="5"/>
        <v>-1</v>
      </c>
      <c r="X102" s="228"/>
    </row>
    <row r="103" spans="1:24" ht="13.8" thickBot="1" x14ac:dyDescent="0.3">
      <c r="A103" s="103"/>
      <c r="B103" s="150" t="s">
        <v>85</v>
      </c>
      <c r="C103" s="294"/>
      <c r="D103" s="293"/>
      <c r="E103" s="292"/>
      <c r="F103" s="316">
        <f>SUM(F91:F99)</f>
        <v>55130.802000000003</v>
      </c>
      <c r="G103" s="316">
        <f>SUM(G91:G99)</f>
        <v>39032.607815999996</v>
      </c>
      <c r="H103" s="286"/>
      <c r="I103" s="286"/>
      <c r="J103" s="286"/>
      <c r="K103" s="286"/>
      <c r="L103" s="286"/>
      <c r="M103" s="286"/>
      <c r="N103" s="286"/>
      <c r="O103" s="286"/>
      <c r="P103" s="286"/>
      <c r="Q103" s="312"/>
      <c r="R103" s="311"/>
      <c r="S103" s="234">
        <f t="shared" si="1"/>
        <v>-55130.802000000003</v>
      </c>
      <c r="T103" s="235">
        <f t="shared" si="2"/>
        <v>-1</v>
      </c>
      <c r="U103" s="234">
        <f t="shared" si="3"/>
        <v>0</v>
      </c>
      <c r="V103" s="234">
        <f t="shared" si="4"/>
        <v>-39032.607815999996</v>
      </c>
      <c r="W103" s="235">
        <f t="shared" si="5"/>
        <v>-1</v>
      </c>
      <c r="X103" s="235"/>
    </row>
    <row r="104" spans="1:24" ht="13.8" thickTop="1" x14ac:dyDescent="0.25">
      <c r="A104" s="91"/>
      <c r="B104" s="74"/>
      <c r="C104" s="358"/>
      <c r="D104" s="357"/>
      <c r="E104" s="356"/>
      <c r="F104" s="356"/>
      <c r="G104" s="420"/>
      <c r="H104" s="238"/>
      <c r="I104" s="238"/>
      <c r="J104" s="238"/>
      <c r="K104" s="238"/>
      <c r="L104" s="238"/>
      <c r="M104" s="238"/>
      <c r="N104" s="238"/>
      <c r="O104" s="238"/>
      <c r="P104" s="238"/>
      <c r="Q104" s="251"/>
      <c r="R104" s="257"/>
      <c r="S104" s="222"/>
      <c r="T104" s="228"/>
      <c r="U104" s="222"/>
      <c r="V104" s="222"/>
      <c r="W104" s="228"/>
      <c r="X104" s="228"/>
    </row>
    <row r="105" spans="1:24" x14ac:dyDescent="0.25">
      <c r="A105" s="129">
        <v>2</v>
      </c>
      <c r="B105" s="130" t="s">
        <v>99</v>
      </c>
      <c r="C105" s="329"/>
      <c r="D105" s="328"/>
      <c r="E105" s="327"/>
      <c r="F105" s="327"/>
      <c r="G105" s="422"/>
      <c r="H105" s="238"/>
      <c r="I105" s="238"/>
      <c r="J105" s="238"/>
      <c r="K105" s="238"/>
      <c r="L105" s="238"/>
      <c r="M105" s="238"/>
      <c r="N105" s="238"/>
      <c r="O105" s="238"/>
      <c r="P105" s="238"/>
      <c r="Q105" s="251"/>
      <c r="R105" s="259"/>
      <c r="S105" s="227"/>
      <c r="T105" s="229"/>
      <c r="U105" s="227"/>
      <c r="V105" s="227"/>
      <c r="W105" s="229"/>
      <c r="X105" s="229"/>
    </row>
    <row r="106" spans="1:24" x14ac:dyDescent="0.25">
      <c r="A106" s="217" t="s">
        <v>100</v>
      </c>
      <c r="B106" s="218" t="s">
        <v>70</v>
      </c>
      <c r="C106" s="355"/>
      <c r="D106" s="354"/>
      <c r="E106" s="353"/>
      <c r="F106" s="352">
        <f>SUM(F107:F110)</f>
        <v>79800</v>
      </c>
      <c r="G106" s="423">
        <f>SUM(G107:G110)</f>
        <v>112711.86440677967</v>
      </c>
      <c r="H106" s="239"/>
      <c r="I106" s="239"/>
      <c r="J106" s="239"/>
      <c r="K106" s="239"/>
      <c r="L106" s="239"/>
      <c r="M106" s="239"/>
      <c r="N106" s="239"/>
      <c r="O106" s="239"/>
      <c r="P106" s="239"/>
      <c r="Q106" s="250"/>
      <c r="R106" s="261"/>
      <c r="S106" s="236">
        <f t="shared" si="1"/>
        <v>-79800</v>
      </c>
      <c r="T106" s="237">
        <f t="shared" si="2"/>
        <v>-1</v>
      </c>
      <c r="U106" s="236">
        <f t="shared" si="3"/>
        <v>0</v>
      </c>
      <c r="V106" s="236">
        <f t="shared" si="4"/>
        <v>-112711.86440677967</v>
      </c>
      <c r="W106" s="237">
        <f t="shared" si="5"/>
        <v>-1</v>
      </c>
      <c r="X106" s="237"/>
    </row>
    <row r="107" spans="1:24" x14ac:dyDescent="0.25">
      <c r="A107" s="152" t="s">
        <v>200</v>
      </c>
      <c r="B107" s="816" t="s">
        <v>906</v>
      </c>
      <c r="C107" s="351" t="s">
        <v>399</v>
      </c>
      <c r="D107" s="424">
        <v>3</v>
      </c>
      <c r="E107" s="820">
        <f>(150*170)</f>
        <v>25500</v>
      </c>
      <c r="F107" s="276">
        <f>D107*E107</f>
        <v>76500</v>
      </c>
      <c r="G107" s="418">
        <f>F107*C4</f>
        <v>108050.84745762713</v>
      </c>
      <c r="H107" s="239"/>
      <c r="I107" s="239"/>
      <c r="J107" s="239"/>
      <c r="K107" s="239"/>
      <c r="L107" s="239"/>
      <c r="M107" s="239"/>
      <c r="N107" s="239"/>
      <c r="O107" s="239"/>
      <c r="P107" s="239"/>
      <c r="Q107" s="250"/>
      <c r="R107" s="261"/>
      <c r="S107" s="222">
        <f t="shared" si="1"/>
        <v>-76500</v>
      </c>
      <c r="T107" s="228">
        <f t="shared" si="2"/>
        <v>-1</v>
      </c>
      <c r="U107" s="222">
        <f t="shared" si="3"/>
        <v>0</v>
      </c>
      <c r="V107" s="222">
        <f t="shared" si="4"/>
        <v>-108050.84745762713</v>
      </c>
      <c r="W107" s="228">
        <f t="shared" si="5"/>
        <v>-1</v>
      </c>
      <c r="X107" s="228"/>
    </row>
    <row r="108" spans="1:24" x14ac:dyDescent="0.25">
      <c r="A108" s="152" t="s">
        <v>201</v>
      </c>
      <c r="B108" s="110" t="s">
        <v>537</v>
      </c>
      <c r="C108" s="351" t="s">
        <v>538</v>
      </c>
      <c r="D108" s="424">
        <v>10</v>
      </c>
      <c r="E108" s="425">
        <v>150</v>
      </c>
      <c r="F108" s="276">
        <f>D108*E108</f>
        <v>1500</v>
      </c>
      <c r="G108" s="418">
        <f>F108*C4</f>
        <v>2118.6440677966102</v>
      </c>
      <c r="H108" s="239"/>
      <c r="I108" s="239"/>
      <c r="J108" s="239"/>
      <c r="K108" s="239"/>
      <c r="L108" s="239"/>
      <c r="M108" s="239"/>
      <c r="N108" s="239"/>
      <c r="O108" s="239"/>
      <c r="P108" s="239"/>
      <c r="Q108" s="250"/>
      <c r="R108" s="261"/>
      <c r="S108" s="222">
        <f t="shared" si="1"/>
        <v>-1500</v>
      </c>
      <c r="T108" s="228">
        <f t="shared" si="2"/>
        <v>-1</v>
      </c>
      <c r="U108" s="222">
        <f t="shared" si="3"/>
        <v>0</v>
      </c>
      <c r="V108" s="222">
        <f t="shared" si="4"/>
        <v>-2118.6440677966102</v>
      </c>
      <c r="W108" s="228">
        <f t="shared" si="5"/>
        <v>-1</v>
      </c>
      <c r="X108" s="228"/>
    </row>
    <row r="109" spans="1:24" ht="26.4" x14ac:dyDescent="0.25">
      <c r="A109" s="152" t="s">
        <v>202</v>
      </c>
      <c r="B109" s="816" t="s">
        <v>907</v>
      </c>
      <c r="C109" s="351" t="s">
        <v>539</v>
      </c>
      <c r="D109" s="424">
        <f>5*20</f>
        <v>100</v>
      </c>
      <c r="E109" s="425">
        <v>18</v>
      </c>
      <c r="F109" s="276">
        <f>D109*E109</f>
        <v>1800</v>
      </c>
      <c r="G109" s="418">
        <f>F109*C4</f>
        <v>2542.3728813559323</v>
      </c>
      <c r="H109" s="239"/>
      <c r="I109" s="239"/>
      <c r="J109" s="239"/>
      <c r="K109" s="239"/>
      <c r="L109" s="239"/>
      <c r="M109" s="239"/>
      <c r="N109" s="239"/>
      <c r="O109" s="239"/>
      <c r="P109" s="239"/>
      <c r="Q109" s="250"/>
      <c r="R109" s="261"/>
      <c r="S109" s="222">
        <f t="shared" si="1"/>
        <v>-1800</v>
      </c>
      <c r="T109" s="228">
        <f t="shared" si="2"/>
        <v>-1</v>
      </c>
      <c r="U109" s="222">
        <f t="shared" si="3"/>
        <v>0</v>
      </c>
      <c r="V109" s="222">
        <f t="shared" si="4"/>
        <v>-2542.3728813559323</v>
      </c>
      <c r="W109" s="228">
        <f t="shared" si="5"/>
        <v>-1</v>
      </c>
      <c r="X109" s="228"/>
    </row>
    <row r="110" spans="1:24" hidden="1" x14ac:dyDescent="0.25">
      <c r="A110" s="152"/>
      <c r="B110" s="110"/>
      <c r="C110" s="351"/>
      <c r="D110" s="424"/>
      <c r="E110" s="425"/>
      <c r="F110" s="276"/>
      <c r="G110" s="418"/>
      <c r="H110" s="239"/>
      <c r="I110" s="239"/>
      <c r="J110" s="239"/>
      <c r="K110" s="239"/>
      <c r="L110" s="239"/>
      <c r="M110" s="239"/>
      <c r="N110" s="239"/>
      <c r="O110" s="239"/>
      <c r="P110" s="239"/>
      <c r="Q110" s="250"/>
      <c r="R110" s="261"/>
      <c r="S110" s="222">
        <f t="shared" si="1"/>
        <v>0</v>
      </c>
      <c r="T110" s="228">
        <f t="shared" si="2"/>
        <v>0</v>
      </c>
      <c r="U110" s="222">
        <f t="shared" si="3"/>
        <v>0</v>
      </c>
      <c r="V110" s="222">
        <f t="shared" si="4"/>
        <v>0</v>
      </c>
      <c r="W110" s="228">
        <f t="shared" si="5"/>
        <v>0</v>
      </c>
      <c r="X110" s="228"/>
    </row>
    <row r="111" spans="1:24" x14ac:dyDescent="0.25">
      <c r="A111" s="217" t="s">
        <v>101</v>
      </c>
      <c r="B111" s="218" t="s">
        <v>59</v>
      </c>
      <c r="C111" s="355"/>
      <c r="D111" s="354"/>
      <c r="E111" s="426"/>
      <c r="F111" s="352">
        <f>SUM(F112:F116)</f>
        <v>10320</v>
      </c>
      <c r="G111" s="423">
        <f>SUM(G112:G116)</f>
        <v>14576.271186440679</v>
      </c>
      <c r="H111" s="239"/>
      <c r="I111" s="239"/>
      <c r="J111" s="239"/>
      <c r="K111" s="239"/>
      <c r="L111" s="239"/>
      <c r="M111" s="239"/>
      <c r="N111" s="239"/>
      <c r="O111" s="239"/>
      <c r="P111" s="239"/>
      <c r="Q111" s="250"/>
      <c r="R111" s="261"/>
      <c r="S111" s="236">
        <f t="shared" si="1"/>
        <v>-10320</v>
      </c>
      <c r="T111" s="237">
        <f t="shared" si="2"/>
        <v>-1</v>
      </c>
      <c r="U111" s="236">
        <f t="shared" si="3"/>
        <v>0</v>
      </c>
      <c r="V111" s="236">
        <f t="shared" si="4"/>
        <v>-14576.271186440679</v>
      </c>
      <c r="W111" s="237">
        <f t="shared" si="5"/>
        <v>-1</v>
      </c>
      <c r="X111" s="237"/>
    </row>
    <row r="112" spans="1:24" x14ac:dyDescent="0.25">
      <c r="A112" s="152" t="s">
        <v>205</v>
      </c>
      <c r="B112" s="816" t="s">
        <v>909</v>
      </c>
      <c r="C112" s="351" t="s">
        <v>540</v>
      </c>
      <c r="D112" s="424">
        <v>60</v>
      </c>
      <c r="E112" s="425">
        <v>40</v>
      </c>
      <c r="F112" s="276">
        <f>D112*E112</f>
        <v>2400</v>
      </c>
      <c r="G112" s="418">
        <f>F112*C4</f>
        <v>3389.8305084745766</v>
      </c>
      <c r="H112" s="239"/>
      <c r="I112" s="239"/>
      <c r="J112" s="239"/>
      <c r="K112" s="239"/>
      <c r="L112" s="239"/>
      <c r="M112" s="239"/>
      <c r="N112" s="239"/>
      <c r="O112" s="239"/>
      <c r="P112" s="239"/>
      <c r="Q112" s="250"/>
      <c r="R112" s="261"/>
      <c r="S112" s="222">
        <f t="shared" si="1"/>
        <v>-2400</v>
      </c>
      <c r="T112" s="228">
        <f t="shared" si="2"/>
        <v>-1</v>
      </c>
      <c r="U112" s="222">
        <f t="shared" si="3"/>
        <v>0</v>
      </c>
      <c r="V112" s="222">
        <f t="shared" si="4"/>
        <v>-3389.8305084745766</v>
      </c>
      <c r="W112" s="228">
        <f t="shared" si="5"/>
        <v>-1</v>
      </c>
      <c r="X112" s="228"/>
    </row>
    <row r="113" spans="1:24" ht="26.4" x14ac:dyDescent="0.25">
      <c r="A113" s="152" t="s">
        <v>206</v>
      </c>
      <c r="B113" s="816" t="s">
        <v>910</v>
      </c>
      <c r="C113" s="351" t="s">
        <v>541</v>
      </c>
      <c r="D113" s="424">
        <f>60*3</f>
        <v>180</v>
      </c>
      <c r="E113" s="425">
        <v>35</v>
      </c>
      <c r="F113" s="276">
        <f>D113*E113</f>
        <v>6300</v>
      </c>
      <c r="G113" s="418">
        <f>F113*C4</f>
        <v>8898.3050847457635</v>
      </c>
      <c r="H113" s="239"/>
      <c r="I113" s="239"/>
      <c r="J113" s="239"/>
      <c r="K113" s="239"/>
      <c r="L113" s="239"/>
      <c r="M113" s="239"/>
      <c r="N113" s="239"/>
      <c r="O113" s="239"/>
      <c r="P113" s="239"/>
      <c r="Q113" s="250"/>
      <c r="R113" s="261"/>
      <c r="S113" s="222">
        <f t="shared" si="1"/>
        <v>-6300</v>
      </c>
      <c r="T113" s="228">
        <f t="shared" si="2"/>
        <v>-1</v>
      </c>
      <c r="U113" s="222">
        <f t="shared" si="3"/>
        <v>0</v>
      </c>
      <c r="V113" s="222">
        <f t="shared" si="4"/>
        <v>-8898.3050847457635</v>
      </c>
      <c r="W113" s="228">
        <f t="shared" si="5"/>
        <v>-1</v>
      </c>
      <c r="X113" s="228"/>
    </row>
    <row r="114" spans="1:24" x14ac:dyDescent="0.25">
      <c r="A114" s="152" t="s">
        <v>207</v>
      </c>
      <c r="B114" s="110" t="s">
        <v>542</v>
      </c>
      <c r="C114" s="351" t="s">
        <v>541</v>
      </c>
      <c r="D114" s="424">
        <f>60*3</f>
        <v>180</v>
      </c>
      <c r="E114" s="425">
        <v>3</v>
      </c>
      <c r="F114" s="276">
        <f>D114*E114</f>
        <v>540</v>
      </c>
      <c r="G114" s="418">
        <f>F114*C4</f>
        <v>762.71186440677968</v>
      </c>
      <c r="H114" s="239"/>
      <c r="I114" s="239"/>
      <c r="J114" s="239"/>
      <c r="K114" s="239"/>
      <c r="L114" s="239"/>
      <c r="M114" s="239"/>
      <c r="N114" s="239"/>
      <c r="O114" s="239"/>
      <c r="P114" s="239"/>
      <c r="Q114" s="250"/>
      <c r="R114" s="261"/>
      <c r="S114" s="222">
        <f t="shared" si="1"/>
        <v>-540</v>
      </c>
      <c r="T114" s="228">
        <f t="shared" si="2"/>
        <v>-1</v>
      </c>
      <c r="U114" s="222">
        <f t="shared" si="3"/>
        <v>0</v>
      </c>
      <c r="V114" s="222">
        <f t="shared" si="4"/>
        <v>-762.71186440677968</v>
      </c>
      <c r="W114" s="228">
        <f t="shared" si="5"/>
        <v>-1</v>
      </c>
      <c r="X114" s="228"/>
    </row>
    <row r="115" spans="1:24" ht="26.4" x14ac:dyDescent="0.25">
      <c r="A115" s="152" t="s">
        <v>208</v>
      </c>
      <c r="B115" s="816" t="s">
        <v>911</v>
      </c>
      <c r="C115" s="351" t="s">
        <v>539</v>
      </c>
      <c r="D115" s="424">
        <f>5*12</f>
        <v>60</v>
      </c>
      <c r="E115" s="425">
        <v>18</v>
      </c>
      <c r="F115" s="276">
        <f>D115*E115</f>
        <v>1080</v>
      </c>
      <c r="G115" s="418">
        <f>F115*C4</f>
        <v>1525.4237288135594</v>
      </c>
      <c r="H115" s="239"/>
      <c r="I115" s="239"/>
      <c r="J115" s="239"/>
      <c r="K115" s="239"/>
      <c r="L115" s="239"/>
      <c r="M115" s="239"/>
      <c r="N115" s="239"/>
      <c r="O115" s="239"/>
      <c r="P115" s="239"/>
      <c r="Q115" s="250"/>
      <c r="R115" s="261"/>
      <c r="S115" s="222">
        <f t="shared" si="1"/>
        <v>-1080</v>
      </c>
      <c r="T115" s="228">
        <f t="shared" si="2"/>
        <v>-1</v>
      </c>
      <c r="U115" s="222">
        <f>R115*$C$4</f>
        <v>0</v>
      </c>
      <c r="V115" s="222">
        <f>U115-G115</f>
        <v>-1525.4237288135594</v>
      </c>
      <c r="W115" s="228">
        <f>IF(G115=0,0,V115/G115)</f>
        <v>-1</v>
      </c>
      <c r="X115" s="228"/>
    </row>
    <row r="116" spans="1:24" hidden="1" x14ac:dyDescent="0.25">
      <c r="A116" s="152"/>
      <c r="B116" s="110"/>
      <c r="C116" s="351"/>
      <c r="D116" s="424"/>
      <c r="E116" s="425"/>
      <c r="F116" s="276"/>
      <c r="G116" s="418"/>
      <c r="H116" s="239"/>
      <c r="I116" s="239"/>
      <c r="J116" s="239"/>
      <c r="K116" s="239"/>
      <c r="L116" s="239"/>
      <c r="M116" s="239"/>
      <c r="N116" s="239"/>
      <c r="O116" s="239"/>
      <c r="P116" s="239"/>
      <c r="Q116" s="250"/>
      <c r="R116" s="261"/>
      <c r="S116" s="222">
        <f t="shared" si="1"/>
        <v>0</v>
      </c>
      <c r="T116" s="228">
        <f t="shared" si="2"/>
        <v>0</v>
      </c>
      <c r="U116" s="222">
        <f t="shared" si="3"/>
        <v>0</v>
      </c>
      <c r="V116" s="222">
        <f t="shared" si="4"/>
        <v>0</v>
      </c>
      <c r="W116" s="228">
        <f t="shared" si="5"/>
        <v>0</v>
      </c>
      <c r="X116" s="228"/>
    </row>
    <row r="117" spans="1:24" x14ac:dyDescent="0.25">
      <c r="A117" s="217" t="s">
        <v>102</v>
      </c>
      <c r="B117" s="218" t="s">
        <v>71</v>
      </c>
      <c r="C117" s="355"/>
      <c r="D117" s="354"/>
      <c r="E117" s="426"/>
      <c r="F117" s="352">
        <f>SUM(F118:F119)</f>
        <v>106200</v>
      </c>
      <c r="G117" s="423">
        <f>SUM(G118:G119)</f>
        <v>150000</v>
      </c>
      <c r="H117" s="239"/>
      <c r="I117" s="239"/>
      <c r="J117" s="239"/>
      <c r="K117" s="239"/>
      <c r="L117" s="239"/>
      <c r="M117" s="239"/>
      <c r="N117" s="239"/>
      <c r="O117" s="239"/>
      <c r="P117" s="239"/>
      <c r="Q117" s="250"/>
      <c r="R117" s="261"/>
      <c r="S117" s="236">
        <f t="shared" si="1"/>
        <v>-106200</v>
      </c>
      <c r="T117" s="237">
        <f t="shared" si="2"/>
        <v>-1</v>
      </c>
      <c r="U117" s="236">
        <f t="shared" si="3"/>
        <v>0</v>
      </c>
      <c r="V117" s="236">
        <f t="shared" si="4"/>
        <v>-150000</v>
      </c>
      <c r="W117" s="237">
        <f t="shared" si="5"/>
        <v>-1</v>
      </c>
      <c r="X117" s="237"/>
    </row>
    <row r="118" spans="1:24" x14ac:dyDescent="0.25">
      <c r="A118" s="152" t="s">
        <v>210</v>
      </c>
      <c r="B118" s="110" t="s">
        <v>543</v>
      </c>
      <c r="C118" s="351" t="s">
        <v>544</v>
      </c>
      <c r="D118" s="424">
        <v>1</v>
      </c>
      <c r="E118" s="425">
        <f>(150000*0.708)</f>
        <v>106200</v>
      </c>
      <c r="F118" s="276">
        <f>D118*E118</f>
        <v>106200</v>
      </c>
      <c r="G118" s="418">
        <f>F118*C4</f>
        <v>150000</v>
      </c>
      <c r="H118" s="239"/>
      <c r="I118" s="239"/>
      <c r="J118" s="239"/>
      <c r="K118" s="239"/>
      <c r="L118" s="239"/>
      <c r="M118" s="239"/>
      <c r="N118" s="239"/>
      <c r="O118" s="239"/>
      <c r="P118" s="239"/>
      <c r="Q118" s="250"/>
      <c r="R118" s="261"/>
      <c r="S118" s="222">
        <f t="shared" si="1"/>
        <v>-106200</v>
      </c>
      <c r="T118" s="228">
        <f t="shared" si="2"/>
        <v>-1</v>
      </c>
      <c r="U118" s="222">
        <f t="shared" si="3"/>
        <v>0</v>
      </c>
      <c r="V118" s="222">
        <f t="shared" si="4"/>
        <v>-150000</v>
      </c>
      <c r="W118" s="228">
        <f t="shared" si="5"/>
        <v>-1</v>
      </c>
      <c r="X118" s="228"/>
    </row>
    <row r="119" spans="1:24" hidden="1" x14ac:dyDescent="0.25">
      <c r="A119" s="152"/>
      <c r="B119" s="110"/>
      <c r="C119" s="351"/>
      <c r="D119" s="424"/>
      <c r="E119" s="427"/>
      <c r="F119" s="276"/>
      <c r="G119" s="418"/>
      <c r="H119" s="239"/>
      <c r="I119" s="239"/>
      <c r="J119" s="239"/>
      <c r="K119" s="239"/>
      <c r="L119" s="239"/>
      <c r="M119" s="239"/>
      <c r="N119" s="239"/>
      <c r="O119" s="239"/>
      <c r="P119" s="239"/>
      <c r="Q119" s="250"/>
      <c r="R119" s="261"/>
      <c r="S119" s="222">
        <f t="shared" si="1"/>
        <v>0</v>
      </c>
      <c r="T119" s="228">
        <f t="shared" si="2"/>
        <v>0</v>
      </c>
      <c r="U119" s="222">
        <f t="shared" si="3"/>
        <v>0</v>
      </c>
      <c r="V119" s="222">
        <f t="shared" si="4"/>
        <v>0</v>
      </c>
      <c r="W119" s="228">
        <f t="shared" si="5"/>
        <v>0</v>
      </c>
      <c r="X119" s="228"/>
    </row>
    <row r="120" spans="1:24" x14ac:dyDescent="0.25">
      <c r="A120" s="217" t="s">
        <v>103</v>
      </c>
      <c r="B120" s="218" t="s">
        <v>72</v>
      </c>
      <c r="C120" s="355"/>
      <c r="D120" s="354"/>
      <c r="E120" s="353"/>
      <c r="F120" s="352">
        <f>SUM(F121:F125)</f>
        <v>9750</v>
      </c>
      <c r="G120" s="423">
        <f>SUM(G121:G125)</f>
        <v>13771.186440677968</v>
      </c>
      <c r="H120" s="239"/>
      <c r="I120" s="239"/>
      <c r="J120" s="239"/>
      <c r="K120" s="239"/>
      <c r="L120" s="239"/>
      <c r="M120" s="239"/>
      <c r="N120" s="239"/>
      <c r="O120" s="239"/>
      <c r="P120" s="239"/>
      <c r="Q120" s="250"/>
      <c r="R120" s="261"/>
      <c r="S120" s="236">
        <f t="shared" si="1"/>
        <v>-9750</v>
      </c>
      <c r="T120" s="237">
        <f t="shared" si="2"/>
        <v>-1</v>
      </c>
      <c r="U120" s="236">
        <f t="shared" si="3"/>
        <v>0</v>
      </c>
      <c r="V120" s="236">
        <f t="shared" si="4"/>
        <v>-13771.186440677968</v>
      </c>
      <c r="W120" s="237">
        <f t="shared" si="5"/>
        <v>-1</v>
      </c>
      <c r="X120" s="237"/>
    </row>
    <row r="121" spans="1:24" ht="39.6" x14ac:dyDescent="0.25">
      <c r="A121" s="152" t="s">
        <v>215</v>
      </c>
      <c r="B121" s="110" t="s">
        <v>545</v>
      </c>
      <c r="C121" s="351" t="s">
        <v>538</v>
      </c>
      <c r="D121" s="424">
        <v>15</v>
      </c>
      <c r="E121" s="425">
        <v>500</v>
      </c>
      <c r="F121" s="276">
        <f>D121*E121</f>
        <v>7500</v>
      </c>
      <c r="G121" s="418">
        <f>F121*C4</f>
        <v>10593.220338983052</v>
      </c>
      <c r="H121" s="239"/>
      <c r="I121" s="239"/>
      <c r="J121" s="239"/>
      <c r="K121" s="239"/>
      <c r="L121" s="239"/>
      <c r="M121" s="239"/>
      <c r="N121" s="239"/>
      <c r="O121" s="239"/>
      <c r="P121" s="239"/>
      <c r="Q121" s="250"/>
      <c r="R121" s="261"/>
      <c r="S121" s="222">
        <f t="shared" si="1"/>
        <v>-7500</v>
      </c>
      <c r="T121" s="228">
        <f t="shared" si="2"/>
        <v>-1</v>
      </c>
      <c r="U121" s="222">
        <f t="shared" si="3"/>
        <v>0</v>
      </c>
      <c r="V121" s="222">
        <f t="shared" si="4"/>
        <v>-10593.220338983052</v>
      </c>
      <c r="W121" s="228">
        <f t="shared" si="5"/>
        <v>-1</v>
      </c>
      <c r="X121" s="228"/>
    </row>
    <row r="122" spans="1:24" ht="26.4" x14ac:dyDescent="0.25">
      <c r="A122" s="152" t="s">
        <v>216</v>
      </c>
      <c r="B122" s="110" t="s">
        <v>546</v>
      </c>
      <c r="C122" s="351" t="s">
        <v>539</v>
      </c>
      <c r="D122" s="424">
        <f>30*5</f>
        <v>150</v>
      </c>
      <c r="E122" s="425">
        <f>15</f>
        <v>15</v>
      </c>
      <c r="F122" s="276">
        <f>D122*E122</f>
        <v>2250</v>
      </c>
      <c r="G122" s="418">
        <f>F122*C4</f>
        <v>3177.9661016949153</v>
      </c>
      <c r="H122" s="239"/>
      <c r="I122" s="239"/>
      <c r="J122" s="239"/>
      <c r="K122" s="239"/>
      <c r="L122" s="239"/>
      <c r="M122" s="239"/>
      <c r="N122" s="239"/>
      <c r="O122" s="239"/>
      <c r="P122" s="239"/>
      <c r="Q122" s="250"/>
      <c r="R122" s="261"/>
      <c r="S122" s="222">
        <f t="shared" si="1"/>
        <v>-2250</v>
      </c>
      <c r="T122" s="228">
        <f t="shared" si="2"/>
        <v>-1</v>
      </c>
      <c r="U122" s="222">
        <f t="shared" si="3"/>
        <v>0</v>
      </c>
      <c r="V122" s="222">
        <f t="shared" si="4"/>
        <v>-3177.9661016949153</v>
      </c>
      <c r="W122" s="228">
        <f t="shared" si="5"/>
        <v>-1</v>
      </c>
      <c r="X122" s="228"/>
    </row>
    <row r="123" spans="1:24" hidden="1" x14ac:dyDescent="0.25">
      <c r="A123" s="152" t="s">
        <v>217</v>
      </c>
      <c r="B123" s="110" t="s">
        <v>269</v>
      </c>
      <c r="C123" s="351"/>
      <c r="D123" s="424"/>
      <c r="E123" s="425"/>
      <c r="F123" s="276">
        <f>D123*E123</f>
        <v>0</v>
      </c>
      <c r="G123" s="418">
        <f>F123*C4</f>
        <v>0</v>
      </c>
      <c r="H123" s="239"/>
      <c r="I123" s="239"/>
      <c r="J123" s="239"/>
      <c r="K123" s="239"/>
      <c r="L123" s="239"/>
      <c r="M123" s="239"/>
      <c r="N123" s="239"/>
      <c r="O123" s="239"/>
      <c r="P123" s="239"/>
      <c r="Q123" s="250"/>
      <c r="R123" s="261"/>
      <c r="S123" s="222">
        <f t="shared" si="1"/>
        <v>0</v>
      </c>
      <c r="T123" s="228">
        <f t="shared" si="2"/>
        <v>0</v>
      </c>
      <c r="U123" s="222">
        <f t="shared" si="3"/>
        <v>0</v>
      </c>
      <c r="V123" s="222">
        <f t="shared" si="4"/>
        <v>0</v>
      </c>
      <c r="W123" s="228">
        <f t="shared" si="5"/>
        <v>0</v>
      </c>
      <c r="X123" s="228"/>
    </row>
    <row r="124" spans="1:24" hidden="1" x14ac:dyDescent="0.25">
      <c r="A124" s="152" t="s">
        <v>218</v>
      </c>
      <c r="B124" s="110" t="s">
        <v>270</v>
      </c>
      <c r="C124" s="351"/>
      <c r="D124" s="424"/>
      <c r="E124" s="425"/>
      <c r="F124" s="276">
        <f>D124*E124</f>
        <v>0</v>
      </c>
      <c r="G124" s="418">
        <f>F124*C4</f>
        <v>0</v>
      </c>
      <c r="H124" s="239"/>
      <c r="I124" s="239"/>
      <c r="J124" s="239"/>
      <c r="K124" s="239"/>
      <c r="L124" s="239"/>
      <c r="M124" s="239"/>
      <c r="N124" s="239"/>
      <c r="O124" s="239"/>
      <c r="P124" s="239"/>
      <c r="Q124" s="250"/>
      <c r="R124" s="261"/>
      <c r="S124" s="222">
        <f t="shared" si="1"/>
        <v>0</v>
      </c>
      <c r="T124" s="228">
        <f t="shared" si="2"/>
        <v>0</v>
      </c>
      <c r="U124" s="222">
        <f t="shared" si="3"/>
        <v>0</v>
      </c>
      <c r="V124" s="222">
        <f t="shared" si="4"/>
        <v>0</v>
      </c>
      <c r="W124" s="228">
        <f t="shared" si="5"/>
        <v>0</v>
      </c>
      <c r="X124" s="228"/>
    </row>
    <row r="125" spans="1:24" hidden="1" x14ac:dyDescent="0.25">
      <c r="A125" s="152" t="s">
        <v>219</v>
      </c>
      <c r="B125" s="110" t="s">
        <v>271</v>
      </c>
      <c r="C125" s="351"/>
      <c r="D125" s="424"/>
      <c r="E125" s="425"/>
      <c r="F125" s="276">
        <f>D125*E125</f>
        <v>0</v>
      </c>
      <c r="G125" s="418">
        <f>F125*C4</f>
        <v>0</v>
      </c>
      <c r="H125" s="239"/>
      <c r="I125" s="239"/>
      <c r="J125" s="239"/>
      <c r="K125" s="239"/>
      <c r="L125" s="239"/>
      <c r="M125" s="239"/>
      <c r="N125" s="239"/>
      <c r="O125" s="239"/>
      <c r="P125" s="239"/>
      <c r="Q125" s="250"/>
      <c r="R125" s="261"/>
      <c r="S125" s="222">
        <f t="shared" si="1"/>
        <v>0</v>
      </c>
      <c r="T125" s="228">
        <f t="shared" si="2"/>
        <v>0</v>
      </c>
      <c r="U125" s="222">
        <f t="shared" si="3"/>
        <v>0</v>
      </c>
      <c r="V125" s="222">
        <f t="shared" si="4"/>
        <v>0</v>
      </c>
      <c r="W125" s="228">
        <f t="shared" si="5"/>
        <v>0</v>
      </c>
      <c r="X125" s="228"/>
    </row>
    <row r="126" spans="1:24" x14ac:dyDescent="0.25">
      <c r="A126" s="217" t="s">
        <v>104</v>
      </c>
      <c r="B126" s="218" t="s">
        <v>73</v>
      </c>
      <c r="C126" s="355"/>
      <c r="D126" s="354"/>
      <c r="E126" s="426"/>
      <c r="F126" s="352">
        <f>SUM(F127:F135)</f>
        <v>85130</v>
      </c>
      <c r="G126" s="423">
        <f>SUM(G127:G136)</f>
        <v>134364.40677966102</v>
      </c>
      <c r="H126" s="239"/>
      <c r="I126" s="239"/>
      <c r="J126" s="239"/>
      <c r="K126" s="239"/>
      <c r="L126" s="239"/>
      <c r="M126" s="239"/>
      <c r="N126" s="239"/>
      <c r="O126" s="239"/>
      <c r="P126" s="239"/>
      <c r="Q126" s="250"/>
      <c r="R126" s="261"/>
      <c r="S126" s="236">
        <f t="shared" si="1"/>
        <v>-85130</v>
      </c>
      <c r="T126" s="237">
        <f t="shared" si="2"/>
        <v>-1</v>
      </c>
      <c r="U126" s="236">
        <f t="shared" si="3"/>
        <v>0</v>
      </c>
      <c r="V126" s="236">
        <f t="shared" si="4"/>
        <v>-134364.40677966102</v>
      </c>
      <c r="W126" s="237">
        <f t="shared" si="5"/>
        <v>-1</v>
      </c>
      <c r="X126" s="237"/>
    </row>
    <row r="127" spans="1:24" ht="26.4" x14ac:dyDescent="0.25">
      <c r="A127" s="152" t="s">
        <v>220</v>
      </c>
      <c r="B127" s="110" t="s">
        <v>547</v>
      </c>
      <c r="C127" s="351" t="s">
        <v>539</v>
      </c>
      <c r="D127" s="424">
        <f>11*20*10</f>
        <v>2200</v>
      </c>
      <c r="E127" s="425">
        <f>1.5*6</f>
        <v>9</v>
      </c>
      <c r="F127" s="276">
        <f t="shared" ref="F127:F136" si="8">D127*E127</f>
        <v>19800</v>
      </c>
      <c r="G127" s="418">
        <f>F127*C4</f>
        <v>27966.101694915254</v>
      </c>
      <c r="H127" s="239"/>
      <c r="I127" s="239"/>
      <c r="J127" s="239"/>
      <c r="K127" s="239"/>
      <c r="L127" s="239"/>
      <c r="M127" s="239"/>
      <c r="N127" s="239"/>
      <c r="O127" s="239"/>
      <c r="P127" s="239"/>
      <c r="Q127" s="250"/>
      <c r="R127" s="261"/>
      <c r="S127" s="222">
        <f t="shared" si="1"/>
        <v>-19800</v>
      </c>
      <c r="T127" s="228">
        <f t="shared" si="2"/>
        <v>-1</v>
      </c>
      <c r="U127" s="222">
        <f t="shared" si="3"/>
        <v>0</v>
      </c>
      <c r="V127" s="222">
        <f t="shared" si="4"/>
        <v>-27966.101694915254</v>
      </c>
      <c r="W127" s="228">
        <f t="shared" si="5"/>
        <v>-1</v>
      </c>
      <c r="X127" s="228"/>
    </row>
    <row r="128" spans="1:24" x14ac:dyDescent="0.25">
      <c r="A128" s="152" t="s">
        <v>221</v>
      </c>
      <c r="B128" s="110" t="s">
        <v>548</v>
      </c>
      <c r="C128" s="351" t="s">
        <v>538</v>
      </c>
      <c r="D128" s="424">
        <v>5</v>
      </c>
      <c r="E128" s="425">
        <v>1200</v>
      </c>
      <c r="F128" s="276">
        <f t="shared" si="8"/>
        <v>6000</v>
      </c>
      <c r="G128" s="418">
        <f>F128*C4</f>
        <v>8474.5762711864409</v>
      </c>
      <c r="H128" s="239"/>
      <c r="I128" s="239"/>
      <c r="J128" s="239"/>
      <c r="K128" s="239"/>
      <c r="L128" s="239"/>
      <c r="M128" s="239"/>
      <c r="N128" s="239"/>
      <c r="O128" s="239"/>
      <c r="P128" s="239"/>
      <c r="Q128" s="250"/>
      <c r="R128" s="261"/>
      <c r="S128" s="222">
        <f t="shared" si="1"/>
        <v>-6000</v>
      </c>
      <c r="T128" s="228">
        <f t="shared" si="2"/>
        <v>-1</v>
      </c>
      <c r="U128" s="222">
        <f t="shared" si="3"/>
        <v>0</v>
      </c>
      <c r="V128" s="222">
        <f t="shared" si="4"/>
        <v>-8474.5762711864409</v>
      </c>
      <c r="W128" s="228">
        <f t="shared" si="5"/>
        <v>-1</v>
      </c>
      <c r="X128" s="228"/>
    </row>
    <row r="129" spans="1:24" x14ac:dyDescent="0.25">
      <c r="A129" s="152" t="s">
        <v>222</v>
      </c>
      <c r="B129" s="110" t="s">
        <v>549</v>
      </c>
      <c r="C129" s="351" t="s">
        <v>550</v>
      </c>
      <c r="D129" s="424">
        <v>300</v>
      </c>
      <c r="E129" s="425">
        <v>65</v>
      </c>
      <c r="F129" s="276">
        <f t="shared" si="8"/>
        <v>19500</v>
      </c>
      <c r="G129" s="418">
        <f>F129*C4</f>
        <v>27542.372881355936</v>
      </c>
      <c r="H129" s="239"/>
      <c r="I129" s="239"/>
      <c r="J129" s="239"/>
      <c r="K129" s="239"/>
      <c r="L129" s="239"/>
      <c r="M129" s="239"/>
      <c r="N129" s="239"/>
      <c r="O129" s="239"/>
      <c r="P129" s="239"/>
      <c r="Q129" s="250"/>
      <c r="R129" s="261"/>
      <c r="S129" s="222">
        <f t="shared" si="1"/>
        <v>-19500</v>
      </c>
      <c r="T129" s="228">
        <f t="shared" si="2"/>
        <v>-1</v>
      </c>
      <c r="U129" s="222">
        <f t="shared" si="3"/>
        <v>0</v>
      </c>
      <c r="V129" s="222">
        <f t="shared" si="4"/>
        <v>-27542.372881355936</v>
      </c>
      <c r="W129" s="228">
        <f t="shared" si="5"/>
        <v>-1</v>
      </c>
      <c r="X129" s="228"/>
    </row>
    <row r="130" spans="1:24" ht="26.4" x14ac:dyDescent="0.25">
      <c r="A130" s="152" t="s">
        <v>223</v>
      </c>
      <c r="B130" s="110" t="s">
        <v>551</v>
      </c>
      <c r="C130" s="351" t="s">
        <v>552</v>
      </c>
      <c r="D130" s="424">
        <f>30*1.8</f>
        <v>54</v>
      </c>
      <c r="E130" s="425">
        <v>175</v>
      </c>
      <c r="F130" s="276">
        <f t="shared" si="8"/>
        <v>9450</v>
      </c>
      <c r="G130" s="418">
        <f>F130*C4</f>
        <v>13347.457627118645</v>
      </c>
      <c r="H130" s="239"/>
      <c r="I130" s="239"/>
      <c r="J130" s="239"/>
      <c r="K130" s="239"/>
      <c r="L130" s="239"/>
      <c r="M130" s="239"/>
      <c r="N130" s="239"/>
      <c r="O130" s="239"/>
      <c r="P130" s="239"/>
      <c r="Q130" s="250"/>
      <c r="R130" s="261"/>
      <c r="S130" s="222">
        <f t="shared" si="1"/>
        <v>-9450</v>
      </c>
      <c r="T130" s="228">
        <f t="shared" si="2"/>
        <v>-1</v>
      </c>
      <c r="U130" s="222">
        <f t="shared" si="3"/>
        <v>0</v>
      </c>
      <c r="V130" s="222">
        <f t="shared" si="4"/>
        <v>-13347.457627118645</v>
      </c>
      <c r="W130" s="228">
        <f t="shared" si="5"/>
        <v>-1</v>
      </c>
      <c r="X130" s="228"/>
    </row>
    <row r="131" spans="1:24" ht="26.4" x14ac:dyDescent="0.25">
      <c r="A131" s="152" t="s">
        <v>224</v>
      </c>
      <c r="B131" s="110" t="s">
        <v>553</v>
      </c>
      <c r="C131" s="351" t="s">
        <v>554</v>
      </c>
      <c r="D131" s="424">
        <f>48*200</f>
        <v>9600</v>
      </c>
      <c r="E131" s="428">
        <v>0.3</v>
      </c>
      <c r="F131" s="276">
        <f t="shared" si="8"/>
        <v>2880</v>
      </c>
      <c r="G131" s="418">
        <f>F131*C4</f>
        <v>4067.7966101694919</v>
      </c>
      <c r="H131" s="239"/>
      <c r="I131" s="239"/>
      <c r="J131" s="239"/>
      <c r="K131" s="239"/>
      <c r="L131" s="239"/>
      <c r="M131" s="239"/>
      <c r="N131" s="239"/>
      <c r="O131" s="239"/>
      <c r="P131" s="239"/>
      <c r="Q131" s="250"/>
      <c r="R131" s="261"/>
      <c r="S131" s="222">
        <f t="shared" si="1"/>
        <v>-2880</v>
      </c>
      <c r="T131" s="228">
        <f t="shared" si="2"/>
        <v>-1</v>
      </c>
      <c r="U131" s="222"/>
      <c r="V131" s="222"/>
      <c r="W131" s="228"/>
      <c r="X131" s="228"/>
    </row>
    <row r="132" spans="1:24" ht="26.4" x14ac:dyDescent="0.25">
      <c r="A132" s="152" t="s">
        <v>555</v>
      </c>
      <c r="B132" s="110" t="s">
        <v>556</v>
      </c>
      <c r="C132" s="351" t="s">
        <v>538</v>
      </c>
      <c r="D132" s="424">
        <v>10</v>
      </c>
      <c r="E132" s="425">
        <v>50</v>
      </c>
      <c r="F132" s="276">
        <f t="shared" si="8"/>
        <v>500</v>
      </c>
      <c r="G132" s="418">
        <f>F132*C4</f>
        <v>706.21468926553678</v>
      </c>
      <c r="H132" s="239"/>
      <c r="I132" s="239"/>
      <c r="J132" s="239"/>
      <c r="K132" s="239"/>
      <c r="L132" s="239"/>
      <c r="M132" s="239"/>
      <c r="N132" s="239"/>
      <c r="O132" s="239"/>
      <c r="P132" s="239"/>
      <c r="Q132" s="250"/>
      <c r="R132" s="261"/>
      <c r="S132" s="222"/>
      <c r="T132" s="228"/>
      <c r="U132" s="222"/>
      <c r="V132" s="222"/>
      <c r="W132" s="228"/>
      <c r="X132" s="228"/>
    </row>
    <row r="133" spans="1:24" ht="39.6" x14ac:dyDescent="0.25">
      <c r="A133" s="152" t="s">
        <v>557</v>
      </c>
      <c r="B133" s="110" t="s">
        <v>558</v>
      </c>
      <c r="C133" s="351" t="s">
        <v>559</v>
      </c>
      <c r="D133" s="424">
        <v>20</v>
      </c>
      <c r="E133" s="425">
        <f>150+50</f>
        <v>200</v>
      </c>
      <c r="F133" s="276">
        <f t="shared" si="8"/>
        <v>4000</v>
      </c>
      <c r="G133" s="418">
        <f>F133*C4</f>
        <v>5649.7175141242942</v>
      </c>
      <c r="H133" s="239"/>
      <c r="I133" s="239"/>
      <c r="J133" s="239"/>
      <c r="K133" s="239"/>
      <c r="L133" s="239"/>
      <c r="M133" s="239"/>
      <c r="N133" s="239"/>
      <c r="O133" s="239"/>
      <c r="P133" s="239"/>
      <c r="Q133" s="250"/>
      <c r="R133" s="261"/>
      <c r="S133" s="222"/>
      <c r="T133" s="228"/>
      <c r="U133" s="222"/>
      <c r="V133" s="222"/>
      <c r="W133" s="228"/>
      <c r="X133" s="228"/>
    </row>
    <row r="134" spans="1:24" ht="39.6" x14ac:dyDescent="0.25">
      <c r="A134" s="152" t="s">
        <v>560</v>
      </c>
      <c r="B134" s="110" t="s">
        <v>561</v>
      </c>
      <c r="C134" s="351" t="s">
        <v>562</v>
      </c>
      <c r="D134" s="424">
        <v>10</v>
      </c>
      <c r="E134" s="425">
        <f>1500+50</f>
        <v>1550</v>
      </c>
      <c r="F134" s="276">
        <f t="shared" si="8"/>
        <v>15500</v>
      </c>
      <c r="G134" s="418">
        <f>F134*C4</f>
        <v>21892.65536723164</v>
      </c>
      <c r="H134" s="239"/>
      <c r="I134" s="239"/>
      <c r="J134" s="239"/>
      <c r="K134" s="239"/>
      <c r="L134" s="239"/>
      <c r="M134" s="239"/>
      <c r="N134" s="239"/>
      <c r="O134" s="239"/>
      <c r="P134" s="239"/>
      <c r="Q134" s="250"/>
      <c r="R134" s="261"/>
      <c r="S134" s="222">
        <f t="shared" ref="S134:S141" si="9">R134-F134</f>
        <v>-15500</v>
      </c>
      <c r="T134" s="228">
        <f t="shared" ref="T134:T141" si="10">IF(F134=0,0,S134/F134)</f>
        <v>-1</v>
      </c>
      <c r="U134" s="222">
        <f>R134*$C$4</f>
        <v>0</v>
      </c>
      <c r="V134" s="222">
        <f>U134-G134</f>
        <v>-21892.65536723164</v>
      </c>
      <c r="W134" s="228">
        <f>IF(G134=0,0,V134/G134)</f>
        <v>-1</v>
      </c>
      <c r="X134" s="228"/>
    </row>
    <row r="135" spans="1:24" ht="26.4" x14ac:dyDescent="0.25">
      <c r="A135" s="152" t="s">
        <v>563</v>
      </c>
      <c r="B135" s="110" t="s">
        <v>564</v>
      </c>
      <c r="C135" s="351" t="s">
        <v>565</v>
      </c>
      <c r="D135" s="424">
        <v>30</v>
      </c>
      <c r="E135" s="425">
        <v>250</v>
      </c>
      <c r="F135" s="276">
        <f t="shared" si="8"/>
        <v>7500</v>
      </c>
      <c r="G135" s="418">
        <f>F135*C4</f>
        <v>10593.220338983052</v>
      </c>
      <c r="H135" s="239"/>
      <c r="I135" s="239"/>
      <c r="J135" s="239"/>
      <c r="K135" s="239"/>
      <c r="L135" s="239"/>
      <c r="M135" s="239"/>
      <c r="N135" s="239"/>
      <c r="O135" s="239"/>
      <c r="P135" s="239"/>
      <c r="Q135" s="250"/>
      <c r="R135" s="261"/>
      <c r="S135" s="222">
        <f t="shared" si="9"/>
        <v>-7500</v>
      </c>
      <c r="T135" s="228">
        <f t="shared" si="10"/>
        <v>-1</v>
      </c>
      <c r="U135" s="222">
        <f t="shared" si="3"/>
        <v>0</v>
      </c>
      <c r="V135" s="222">
        <f t="shared" si="4"/>
        <v>-10593.220338983052</v>
      </c>
      <c r="W135" s="228">
        <f t="shared" si="5"/>
        <v>-1</v>
      </c>
      <c r="X135" s="228"/>
    </row>
    <row r="136" spans="1:24" ht="26.4" x14ac:dyDescent="0.25">
      <c r="A136" s="152"/>
      <c r="B136" s="816" t="s">
        <v>914</v>
      </c>
      <c r="C136" s="822" t="s">
        <v>482</v>
      </c>
      <c r="D136" s="424">
        <v>1</v>
      </c>
      <c r="E136" s="425">
        <v>10000</v>
      </c>
      <c r="F136" s="276">
        <f t="shared" si="8"/>
        <v>10000</v>
      </c>
      <c r="G136" s="418">
        <f>F136*C4</f>
        <v>14124.293785310736</v>
      </c>
      <c r="H136" s="239"/>
      <c r="I136" s="239"/>
      <c r="J136" s="239"/>
      <c r="K136" s="239"/>
      <c r="L136" s="239"/>
      <c r="M136" s="239"/>
      <c r="N136" s="239"/>
      <c r="O136" s="239"/>
      <c r="P136" s="239"/>
      <c r="Q136" s="250"/>
      <c r="R136" s="261"/>
      <c r="S136" s="222"/>
      <c r="T136" s="228"/>
      <c r="U136" s="222"/>
      <c r="V136" s="222"/>
      <c r="W136" s="228"/>
      <c r="X136" s="228"/>
    </row>
    <row r="137" spans="1:24" x14ac:dyDescent="0.25">
      <c r="A137" s="217" t="s">
        <v>105</v>
      </c>
      <c r="B137" s="218" t="s">
        <v>58</v>
      </c>
      <c r="C137" s="355"/>
      <c r="D137" s="354"/>
      <c r="E137" s="353"/>
      <c r="F137" s="352">
        <f>SUM(F138:F142)</f>
        <v>0</v>
      </c>
      <c r="G137" s="423">
        <f>SUM(G138:G142)</f>
        <v>0</v>
      </c>
      <c r="H137" s="239"/>
      <c r="I137" s="239"/>
      <c r="J137" s="239"/>
      <c r="K137" s="239"/>
      <c r="L137" s="239"/>
      <c r="M137" s="239"/>
      <c r="N137" s="239"/>
      <c r="O137" s="239"/>
      <c r="P137" s="239"/>
      <c r="Q137" s="250"/>
      <c r="R137" s="261"/>
      <c r="S137" s="236">
        <f t="shared" si="9"/>
        <v>0</v>
      </c>
      <c r="T137" s="237">
        <f t="shared" si="10"/>
        <v>0</v>
      </c>
      <c r="U137" s="236">
        <f t="shared" si="3"/>
        <v>0</v>
      </c>
      <c r="V137" s="236">
        <f t="shared" si="4"/>
        <v>0</v>
      </c>
      <c r="W137" s="237">
        <f t="shared" si="5"/>
        <v>0</v>
      </c>
      <c r="X137" s="237"/>
    </row>
    <row r="138" spans="1:24" hidden="1" x14ac:dyDescent="0.25">
      <c r="A138" s="152" t="s">
        <v>225</v>
      </c>
      <c r="B138" s="110" t="s">
        <v>277</v>
      </c>
      <c r="C138" s="351"/>
      <c r="D138" s="424"/>
      <c r="E138" s="427"/>
      <c r="F138" s="276">
        <f>D138*E138</f>
        <v>0</v>
      </c>
      <c r="G138" s="418">
        <f>F138*C4</f>
        <v>0</v>
      </c>
      <c r="H138" s="239"/>
      <c r="I138" s="239"/>
      <c r="J138" s="239"/>
      <c r="K138" s="239"/>
      <c r="L138" s="239"/>
      <c r="M138" s="239"/>
      <c r="N138" s="239"/>
      <c r="O138" s="239"/>
      <c r="P138" s="239"/>
      <c r="Q138" s="250"/>
      <c r="R138" s="261"/>
      <c r="S138" s="222">
        <f t="shared" si="9"/>
        <v>0</v>
      </c>
      <c r="T138" s="228">
        <f t="shared" si="10"/>
        <v>0</v>
      </c>
      <c r="U138" s="222">
        <f t="shared" si="3"/>
        <v>0</v>
      </c>
      <c r="V138" s="222">
        <f t="shared" si="4"/>
        <v>0</v>
      </c>
      <c r="W138" s="228">
        <f t="shared" si="5"/>
        <v>0</v>
      </c>
      <c r="X138" s="228"/>
    </row>
    <row r="139" spans="1:24" hidden="1" x14ac:dyDescent="0.25">
      <c r="A139" s="152" t="s">
        <v>226</v>
      </c>
      <c r="B139" s="110" t="s">
        <v>278</v>
      </c>
      <c r="C139" s="351"/>
      <c r="D139" s="424"/>
      <c r="E139" s="427"/>
      <c r="F139" s="276">
        <f>D139*E139</f>
        <v>0</v>
      </c>
      <c r="G139" s="418">
        <f>F139*C4</f>
        <v>0</v>
      </c>
      <c r="H139" s="239"/>
      <c r="I139" s="239"/>
      <c r="J139" s="239"/>
      <c r="K139" s="239"/>
      <c r="L139" s="239"/>
      <c r="M139" s="239"/>
      <c r="N139" s="239"/>
      <c r="O139" s="239"/>
      <c r="P139" s="239"/>
      <c r="Q139" s="250"/>
      <c r="R139" s="261"/>
      <c r="S139" s="222">
        <f t="shared" si="9"/>
        <v>0</v>
      </c>
      <c r="T139" s="228">
        <f t="shared" si="10"/>
        <v>0</v>
      </c>
      <c r="U139" s="222">
        <f t="shared" si="3"/>
        <v>0</v>
      </c>
      <c r="V139" s="222">
        <f t="shared" si="4"/>
        <v>0</v>
      </c>
      <c r="W139" s="228">
        <f t="shared" si="5"/>
        <v>0</v>
      </c>
      <c r="X139" s="228"/>
    </row>
    <row r="140" spans="1:24" hidden="1" x14ac:dyDescent="0.25">
      <c r="A140" s="152" t="s">
        <v>227</v>
      </c>
      <c r="B140" s="110" t="s">
        <v>279</v>
      </c>
      <c r="C140" s="351"/>
      <c r="D140" s="424"/>
      <c r="E140" s="427"/>
      <c r="F140" s="276">
        <f>D140*E140</f>
        <v>0</v>
      </c>
      <c r="G140" s="418">
        <f>F140*C4</f>
        <v>0</v>
      </c>
      <c r="H140" s="239"/>
      <c r="I140" s="239"/>
      <c r="J140" s="239"/>
      <c r="K140" s="239"/>
      <c r="L140" s="239"/>
      <c r="M140" s="239"/>
      <c r="N140" s="239"/>
      <c r="O140" s="239"/>
      <c r="P140" s="239"/>
      <c r="Q140" s="250"/>
      <c r="R140" s="261"/>
      <c r="S140" s="222">
        <f t="shared" si="9"/>
        <v>0</v>
      </c>
      <c r="T140" s="228">
        <f t="shared" si="10"/>
        <v>0</v>
      </c>
      <c r="U140" s="222">
        <f t="shared" si="3"/>
        <v>0</v>
      </c>
      <c r="V140" s="222">
        <f t="shared" si="4"/>
        <v>0</v>
      </c>
      <c r="W140" s="228">
        <f t="shared" si="5"/>
        <v>0</v>
      </c>
      <c r="X140" s="228"/>
    </row>
    <row r="141" spans="1:24" hidden="1" x14ac:dyDescent="0.25">
      <c r="A141" s="152" t="s">
        <v>228</v>
      </c>
      <c r="B141" s="110" t="s">
        <v>280</v>
      </c>
      <c r="C141" s="351"/>
      <c r="D141" s="424"/>
      <c r="E141" s="427"/>
      <c r="F141" s="276">
        <f>D141*E141</f>
        <v>0</v>
      </c>
      <c r="G141" s="418">
        <f>F141*C4</f>
        <v>0</v>
      </c>
      <c r="H141" s="239"/>
      <c r="I141" s="239"/>
      <c r="J141" s="239"/>
      <c r="K141" s="239"/>
      <c r="L141" s="239"/>
      <c r="M141" s="239"/>
      <c r="N141" s="239"/>
      <c r="O141" s="239"/>
      <c r="P141" s="239"/>
      <c r="Q141" s="250"/>
      <c r="R141" s="261"/>
      <c r="S141" s="222">
        <f t="shared" si="9"/>
        <v>0</v>
      </c>
      <c r="T141" s="228">
        <f t="shared" si="10"/>
        <v>0</v>
      </c>
      <c r="U141" s="222">
        <f t="shared" si="3"/>
        <v>0</v>
      </c>
      <c r="V141" s="222">
        <f t="shared" si="4"/>
        <v>0</v>
      </c>
      <c r="W141" s="228">
        <f t="shared" si="5"/>
        <v>0</v>
      </c>
      <c r="X141" s="228"/>
    </row>
    <row r="142" spans="1:24" hidden="1" x14ac:dyDescent="0.25">
      <c r="A142" s="152"/>
      <c r="B142" s="110"/>
      <c r="C142" s="351"/>
      <c r="D142" s="424"/>
      <c r="E142" s="427"/>
      <c r="F142" s="276"/>
      <c r="G142" s="418"/>
      <c r="H142" s="239"/>
      <c r="I142" s="239"/>
      <c r="J142" s="239"/>
      <c r="K142" s="239"/>
      <c r="L142" s="239"/>
      <c r="M142" s="239"/>
      <c r="N142" s="239"/>
      <c r="O142" s="239"/>
      <c r="P142" s="239"/>
      <c r="Q142" s="250"/>
      <c r="R142" s="261"/>
      <c r="S142" s="222"/>
      <c r="T142" s="228"/>
      <c r="U142" s="222"/>
      <c r="V142" s="222"/>
      <c r="W142" s="228"/>
      <c r="X142" s="228"/>
    </row>
    <row r="143" spans="1:24" x14ac:dyDescent="0.25">
      <c r="A143" s="217" t="s">
        <v>106</v>
      </c>
      <c r="B143" s="218" t="s">
        <v>57</v>
      </c>
      <c r="C143" s="355"/>
      <c r="D143" s="354"/>
      <c r="E143" s="353"/>
      <c r="F143" s="352">
        <f>SUM(F144:F145)</f>
        <v>106200</v>
      </c>
      <c r="G143" s="423">
        <f>SUM(G144:G145)</f>
        <v>150000</v>
      </c>
      <c r="H143" s="239"/>
      <c r="I143" s="239"/>
      <c r="J143" s="239"/>
      <c r="K143" s="239"/>
      <c r="L143" s="239"/>
      <c r="M143" s="239"/>
      <c r="N143" s="239"/>
      <c r="O143" s="239"/>
      <c r="P143" s="239"/>
      <c r="Q143" s="250"/>
      <c r="R143" s="261"/>
      <c r="S143" s="236">
        <f>R143-F143</f>
        <v>-106200</v>
      </c>
      <c r="T143" s="237">
        <f>IF(F143=0,0,S143/F143)</f>
        <v>-1</v>
      </c>
      <c r="U143" s="236">
        <f t="shared" si="3"/>
        <v>0</v>
      </c>
      <c r="V143" s="236">
        <f t="shared" si="4"/>
        <v>-150000</v>
      </c>
      <c r="W143" s="237">
        <f t="shared" si="5"/>
        <v>-1</v>
      </c>
      <c r="X143" s="237"/>
    </row>
    <row r="144" spans="1:24" x14ac:dyDescent="0.25">
      <c r="A144" s="152" t="s">
        <v>230</v>
      </c>
      <c r="B144" s="110" t="s">
        <v>566</v>
      </c>
      <c r="C144" s="351" t="s">
        <v>544</v>
      </c>
      <c r="D144" s="424">
        <v>1</v>
      </c>
      <c r="E144" s="425">
        <f>(150000*0.708)</f>
        <v>106200</v>
      </c>
      <c r="F144" s="276">
        <f>D144*E144</f>
        <v>106200</v>
      </c>
      <c r="G144" s="418">
        <f>F144*C4</f>
        <v>150000</v>
      </c>
      <c r="H144" s="239"/>
      <c r="I144" s="239"/>
      <c r="J144" s="239"/>
      <c r="K144" s="239"/>
      <c r="L144" s="239"/>
      <c r="M144" s="239"/>
      <c r="N144" s="239"/>
      <c r="O144" s="239"/>
      <c r="P144" s="239"/>
      <c r="Q144" s="250"/>
      <c r="R144" s="261"/>
      <c r="S144" s="222">
        <f>R144-F144</f>
        <v>-106200</v>
      </c>
      <c r="T144" s="228">
        <f>IF(F144=0,0,S144/F144)</f>
        <v>-1</v>
      </c>
      <c r="U144" s="222">
        <f t="shared" si="3"/>
        <v>0</v>
      </c>
      <c r="V144" s="222">
        <f t="shared" si="4"/>
        <v>-150000</v>
      </c>
      <c r="W144" s="228">
        <f t="shared" si="5"/>
        <v>-1</v>
      </c>
      <c r="X144" s="228"/>
    </row>
    <row r="145" spans="1:24" hidden="1" x14ac:dyDescent="0.25">
      <c r="A145" s="152"/>
      <c r="B145" s="110"/>
      <c r="C145" s="351"/>
      <c r="D145" s="424"/>
      <c r="E145" s="427"/>
      <c r="F145" s="276"/>
      <c r="G145" s="418"/>
      <c r="H145" s="239"/>
      <c r="I145" s="239"/>
      <c r="J145" s="239"/>
      <c r="K145" s="239"/>
      <c r="L145" s="239"/>
      <c r="M145" s="239"/>
      <c r="N145" s="239"/>
      <c r="O145" s="239"/>
      <c r="P145" s="239"/>
      <c r="Q145" s="250"/>
      <c r="R145" s="261"/>
      <c r="S145" s="222"/>
      <c r="T145" s="228"/>
      <c r="U145" s="222"/>
      <c r="V145" s="222"/>
      <c r="W145" s="228"/>
      <c r="X145" s="228"/>
    </row>
    <row r="146" spans="1:24" x14ac:dyDescent="0.25">
      <c r="A146" s="217" t="s">
        <v>107</v>
      </c>
      <c r="B146" s="218" t="s">
        <v>74</v>
      </c>
      <c r="C146" s="355"/>
      <c r="D146" s="354"/>
      <c r="E146" s="353"/>
      <c r="F146" s="352">
        <f>SUM(F147:F151)</f>
        <v>0</v>
      </c>
      <c r="G146" s="423">
        <f>SUM(G147:G151)</f>
        <v>0</v>
      </c>
      <c r="H146" s="239"/>
      <c r="I146" s="239"/>
      <c r="J146" s="239"/>
      <c r="K146" s="239"/>
      <c r="L146" s="239"/>
      <c r="M146" s="239"/>
      <c r="N146" s="239"/>
      <c r="O146" s="239"/>
      <c r="P146" s="239"/>
      <c r="Q146" s="250"/>
      <c r="R146" s="261"/>
      <c r="S146" s="236">
        <f>R146-F146</f>
        <v>0</v>
      </c>
      <c r="T146" s="237">
        <f>IF(F146=0,0,S146/F146)</f>
        <v>0</v>
      </c>
      <c r="U146" s="236">
        <f t="shared" si="3"/>
        <v>0</v>
      </c>
      <c r="V146" s="236">
        <f t="shared" si="4"/>
        <v>0</v>
      </c>
      <c r="W146" s="237">
        <f t="shared" si="5"/>
        <v>0</v>
      </c>
      <c r="X146" s="237"/>
    </row>
    <row r="147" spans="1:24" hidden="1" x14ac:dyDescent="0.25">
      <c r="A147" s="152" t="s">
        <v>235</v>
      </c>
      <c r="B147" s="110" t="s">
        <v>287</v>
      </c>
      <c r="C147" s="351"/>
      <c r="D147" s="424"/>
      <c r="E147" s="427"/>
      <c r="F147" s="276">
        <f>D147*E147</f>
        <v>0</v>
      </c>
      <c r="G147" s="418">
        <f>F147*C4</f>
        <v>0</v>
      </c>
      <c r="H147" s="239"/>
      <c r="I147" s="239"/>
      <c r="J147" s="239"/>
      <c r="K147" s="239"/>
      <c r="L147" s="239"/>
      <c r="M147" s="239"/>
      <c r="N147" s="239"/>
      <c r="O147" s="239"/>
      <c r="P147" s="239"/>
      <c r="Q147" s="250"/>
      <c r="R147" s="261"/>
      <c r="S147" s="222">
        <f>R147-F147</f>
        <v>0</v>
      </c>
      <c r="T147" s="228">
        <f>IF(F147=0,0,S147/F147)</f>
        <v>0</v>
      </c>
      <c r="U147" s="222">
        <f t="shared" si="3"/>
        <v>0</v>
      </c>
      <c r="V147" s="222">
        <f t="shared" si="4"/>
        <v>0</v>
      </c>
      <c r="W147" s="228">
        <f t="shared" si="5"/>
        <v>0</v>
      </c>
      <c r="X147" s="228"/>
    </row>
    <row r="148" spans="1:24" hidden="1" x14ac:dyDescent="0.25">
      <c r="A148" s="152" t="s">
        <v>236</v>
      </c>
      <c r="B148" s="110" t="s">
        <v>288</v>
      </c>
      <c r="C148" s="351"/>
      <c r="D148" s="424"/>
      <c r="E148" s="427"/>
      <c r="F148" s="276">
        <f>D148*E148</f>
        <v>0</v>
      </c>
      <c r="G148" s="418">
        <f>F148*C4</f>
        <v>0</v>
      </c>
      <c r="H148" s="239"/>
      <c r="I148" s="239"/>
      <c r="J148" s="239"/>
      <c r="K148" s="239"/>
      <c r="L148" s="239"/>
      <c r="M148" s="239"/>
      <c r="N148" s="239"/>
      <c r="O148" s="239"/>
      <c r="P148" s="239"/>
      <c r="Q148" s="250"/>
      <c r="R148" s="261"/>
      <c r="S148" s="222">
        <f>R148-F148</f>
        <v>0</v>
      </c>
      <c r="T148" s="228">
        <f>IF(F148=0,0,S148/F148)</f>
        <v>0</v>
      </c>
      <c r="U148" s="222">
        <f t="shared" ref="U148:U213" si="11">R148*$C$4</f>
        <v>0</v>
      </c>
      <c r="V148" s="222">
        <f t="shared" ref="V148:V213" si="12">U148-G148</f>
        <v>0</v>
      </c>
      <c r="W148" s="228">
        <f t="shared" ref="W148:W213" si="13">IF(G148=0,0,V148/G148)</f>
        <v>0</v>
      </c>
      <c r="X148" s="228"/>
    </row>
    <row r="149" spans="1:24" hidden="1" x14ac:dyDescent="0.25">
      <c r="A149" s="152" t="s">
        <v>237</v>
      </c>
      <c r="B149" s="110" t="s">
        <v>289</v>
      </c>
      <c r="C149" s="351"/>
      <c r="D149" s="424"/>
      <c r="E149" s="427"/>
      <c r="F149" s="276">
        <f>D149*E149</f>
        <v>0</v>
      </c>
      <c r="G149" s="418">
        <f>F149*C4</f>
        <v>0</v>
      </c>
      <c r="H149" s="239"/>
      <c r="I149" s="239"/>
      <c r="J149" s="239"/>
      <c r="K149" s="239"/>
      <c r="L149" s="239"/>
      <c r="M149" s="239"/>
      <c r="N149" s="239"/>
      <c r="O149" s="239"/>
      <c r="P149" s="239"/>
      <c r="Q149" s="250"/>
      <c r="R149" s="261"/>
      <c r="S149" s="222">
        <f>R149-F149</f>
        <v>0</v>
      </c>
      <c r="T149" s="228">
        <f>IF(F149=0,0,S149/F149)</f>
        <v>0</v>
      </c>
      <c r="U149" s="222">
        <f t="shared" si="11"/>
        <v>0</v>
      </c>
      <c r="V149" s="222">
        <f t="shared" si="12"/>
        <v>0</v>
      </c>
      <c r="W149" s="228">
        <f t="shared" si="13"/>
        <v>0</v>
      </c>
      <c r="X149" s="228"/>
    </row>
    <row r="150" spans="1:24" hidden="1" x14ac:dyDescent="0.25">
      <c r="A150" s="152" t="s">
        <v>238</v>
      </c>
      <c r="B150" s="110" t="s">
        <v>290</v>
      </c>
      <c r="C150" s="351"/>
      <c r="D150" s="424"/>
      <c r="E150" s="427"/>
      <c r="F150" s="276">
        <f>D150*E150</f>
        <v>0</v>
      </c>
      <c r="G150" s="418">
        <f>F150*C4</f>
        <v>0</v>
      </c>
      <c r="H150" s="239"/>
      <c r="I150" s="239"/>
      <c r="J150" s="239"/>
      <c r="K150" s="239"/>
      <c r="L150" s="239"/>
      <c r="M150" s="239"/>
      <c r="N150" s="239"/>
      <c r="O150" s="239"/>
      <c r="P150" s="239"/>
      <c r="Q150" s="250"/>
      <c r="R150" s="261"/>
      <c r="S150" s="222">
        <f>R150-F150</f>
        <v>0</v>
      </c>
      <c r="T150" s="228">
        <f>IF(F150=0,0,S150/F150)</f>
        <v>0</v>
      </c>
      <c r="U150" s="222">
        <f t="shared" si="11"/>
        <v>0</v>
      </c>
      <c r="V150" s="222">
        <f t="shared" si="12"/>
        <v>0</v>
      </c>
      <c r="W150" s="228">
        <f t="shared" si="13"/>
        <v>0</v>
      </c>
      <c r="X150" s="228"/>
    </row>
    <row r="151" spans="1:24" hidden="1" x14ac:dyDescent="0.25">
      <c r="A151" s="152"/>
      <c r="B151" s="110"/>
      <c r="C151" s="351"/>
      <c r="D151" s="424"/>
      <c r="E151" s="427"/>
      <c r="F151" s="276"/>
      <c r="G151" s="418"/>
      <c r="H151" s="239"/>
      <c r="I151" s="239"/>
      <c r="J151" s="239"/>
      <c r="K151" s="239"/>
      <c r="L151" s="239"/>
      <c r="M151" s="239"/>
      <c r="N151" s="239"/>
      <c r="O151" s="239"/>
      <c r="P151" s="239"/>
      <c r="Q151" s="250"/>
      <c r="R151" s="261"/>
      <c r="S151" s="222"/>
      <c r="T151" s="228"/>
      <c r="U151" s="222"/>
      <c r="V151" s="222"/>
      <c r="W151" s="228"/>
      <c r="X151" s="228"/>
    </row>
    <row r="152" spans="1:24" x14ac:dyDescent="0.25">
      <c r="A152" s="217" t="s">
        <v>108</v>
      </c>
      <c r="B152" s="218" t="s">
        <v>75</v>
      </c>
      <c r="C152" s="355"/>
      <c r="D152" s="354"/>
      <c r="E152" s="353"/>
      <c r="F152" s="352">
        <f>SUM(F153:F157)</f>
        <v>0</v>
      </c>
      <c r="G152" s="423">
        <f>SUM(G153:G157)</f>
        <v>0</v>
      </c>
      <c r="H152" s="239"/>
      <c r="I152" s="239"/>
      <c r="J152" s="239"/>
      <c r="K152" s="239"/>
      <c r="L152" s="239"/>
      <c r="M152" s="239"/>
      <c r="N152" s="239"/>
      <c r="O152" s="239"/>
      <c r="P152" s="239"/>
      <c r="Q152" s="250"/>
      <c r="R152" s="261"/>
      <c r="S152" s="236">
        <f>R152-F152</f>
        <v>0</v>
      </c>
      <c r="T152" s="237">
        <f>IF(F152=0,0,S152/F152)</f>
        <v>0</v>
      </c>
      <c r="U152" s="236">
        <f t="shared" si="11"/>
        <v>0</v>
      </c>
      <c r="V152" s="236">
        <f t="shared" si="12"/>
        <v>0</v>
      </c>
      <c r="W152" s="237">
        <f t="shared" si="13"/>
        <v>0</v>
      </c>
      <c r="X152" s="237"/>
    </row>
    <row r="153" spans="1:24" hidden="1" x14ac:dyDescent="0.25">
      <c r="A153" s="157" t="s">
        <v>240</v>
      </c>
      <c r="B153" s="110" t="s">
        <v>292</v>
      </c>
      <c r="C153" s="351"/>
      <c r="D153" s="424"/>
      <c r="E153" s="427"/>
      <c r="F153" s="276">
        <f>D153*E153</f>
        <v>0</v>
      </c>
      <c r="G153" s="418">
        <f>F153*C4</f>
        <v>0</v>
      </c>
      <c r="H153" s="239"/>
      <c r="I153" s="239"/>
      <c r="J153" s="239"/>
      <c r="K153" s="239"/>
      <c r="L153" s="239"/>
      <c r="M153" s="239"/>
      <c r="N153" s="239"/>
      <c r="O153" s="239"/>
      <c r="P153" s="239"/>
      <c r="Q153" s="250"/>
      <c r="R153" s="261"/>
      <c r="S153" s="222">
        <f>R153-F153</f>
        <v>0</v>
      </c>
      <c r="T153" s="228">
        <f>IF(F153=0,0,S153/F153)</f>
        <v>0</v>
      </c>
      <c r="U153" s="222">
        <f t="shared" si="11"/>
        <v>0</v>
      </c>
      <c r="V153" s="222">
        <f t="shared" si="12"/>
        <v>0</v>
      </c>
      <c r="W153" s="228">
        <f t="shared" si="13"/>
        <v>0</v>
      </c>
      <c r="X153" s="228"/>
    </row>
    <row r="154" spans="1:24" hidden="1" x14ac:dyDescent="0.25">
      <c r="A154" s="157" t="s">
        <v>241</v>
      </c>
      <c r="B154" s="110" t="s">
        <v>293</v>
      </c>
      <c r="C154" s="351"/>
      <c r="D154" s="424"/>
      <c r="E154" s="427"/>
      <c r="F154" s="276">
        <f>D154*E154</f>
        <v>0</v>
      </c>
      <c r="G154" s="418">
        <f>F154*C4</f>
        <v>0</v>
      </c>
      <c r="H154" s="239"/>
      <c r="I154" s="239"/>
      <c r="J154" s="239"/>
      <c r="K154" s="239"/>
      <c r="L154" s="239"/>
      <c r="M154" s="239"/>
      <c r="N154" s="239"/>
      <c r="O154" s="239"/>
      <c r="P154" s="239"/>
      <c r="Q154" s="250"/>
      <c r="R154" s="261"/>
      <c r="S154" s="222">
        <f>R154-F154</f>
        <v>0</v>
      </c>
      <c r="T154" s="228">
        <f>IF(F154=0,0,S154/F154)</f>
        <v>0</v>
      </c>
      <c r="U154" s="222">
        <f t="shared" si="11"/>
        <v>0</v>
      </c>
      <c r="V154" s="222">
        <f t="shared" si="12"/>
        <v>0</v>
      </c>
      <c r="W154" s="228">
        <f t="shared" si="13"/>
        <v>0</v>
      </c>
      <c r="X154" s="228"/>
    </row>
    <row r="155" spans="1:24" hidden="1" x14ac:dyDescent="0.25">
      <c r="A155" s="157" t="s">
        <v>242</v>
      </c>
      <c r="B155" s="110" t="s">
        <v>294</v>
      </c>
      <c r="C155" s="351"/>
      <c r="D155" s="424"/>
      <c r="E155" s="427"/>
      <c r="F155" s="276">
        <f>D155*E155</f>
        <v>0</v>
      </c>
      <c r="G155" s="418">
        <f>F155*C4</f>
        <v>0</v>
      </c>
      <c r="H155" s="239"/>
      <c r="I155" s="239"/>
      <c r="J155" s="239"/>
      <c r="K155" s="239"/>
      <c r="L155" s="239"/>
      <c r="M155" s="239"/>
      <c r="N155" s="239"/>
      <c r="O155" s="239"/>
      <c r="P155" s="239"/>
      <c r="Q155" s="250"/>
      <c r="R155" s="261"/>
      <c r="S155" s="222">
        <f>R155-F155</f>
        <v>0</v>
      </c>
      <c r="T155" s="228">
        <f>IF(F155=0,0,S155/F155)</f>
        <v>0</v>
      </c>
      <c r="U155" s="222">
        <f t="shared" si="11"/>
        <v>0</v>
      </c>
      <c r="V155" s="222">
        <f t="shared" si="12"/>
        <v>0</v>
      </c>
      <c r="W155" s="228">
        <f t="shared" si="13"/>
        <v>0</v>
      </c>
      <c r="X155" s="228"/>
    </row>
    <row r="156" spans="1:24" hidden="1" x14ac:dyDescent="0.25">
      <c r="A156" s="157" t="s">
        <v>243</v>
      </c>
      <c r="B156" s="110" t="s">
        <v>295</v>
      </c>
      <c r="C156" s="351"/>
      <c r="D156" s="424"/>
      <c r="E156" s="427"/>
      <c r="F156" s="276">
        <f>D156*E156</f>
        <v>0</v>
      </c>
      <c r="G156" s="418">
        <f>F156*C4</f>
        <v>0</v>
      </c>
      <c r="H156" s="239"/>
      <c r="I156" s="239"/>
      <c r="J156" s="239"/>
      <c r="K156" s="239"/>
      <c r="L156" s="239"/>
      <c r="M156" s="239"/>
      <c r="N156" s="239"/>
      <c r="O156" s="239"/>
      <c r="P156" s="239"/>
      <c r="Q156" s="250"/>
      <c r="R156" s="261"/>
      <c r="S156" s="222">
        <f>R156-F156</f>
        <v>0</v>
      </c>
      <c r="T156" s="228">
        <f>IF(F156=0,0,S156/F156)</f>
        <v>0</v>
      </c>
      <c r="U156" s="222">
        <f t="shared" si="11"/>
        <v>0</v>
      </c>
      <c r="V156" s="222">
        <f t="shared" si="12"/>
        <v>0</v>
      </c>
      <c r="W156" s="228">
        <f t="shared" si="13"/>
        <v>0</v>
      </c>
      <c r="X156" s="228"/>
    </row>
    <row r="157" spans="1:24" hidden="1" x14ac:dyDescent="0.25">
      <c r="A157" s="157"/>
      <c r="B157" s="110"/>
      <c r="C157" s="351"/>
      <c r="D157" s="424"/>
      <c r="E157" s="427"/>
      <c r="F157" s="276"/>
      <c r="G157" s="418"/>
      <c r="H157" s="239"/>
      <c r="I157" s="239"/>
      <c r="J157" s="239"/>
      <c r="K157" s="239"/>
      <c r="L157" s="239"/>
      <c r="M157" s="239"/>
      <c r="N157" s="239"/>
      <c r="O157" s="239"/>
      <c r="P157" s="239"/>
      <c r="Q157" s="250"/>
      <c r="R157" s="261"/>
      <c r="S157" s="222"/>
      <c r="T157" s="228"/>
      <c r="U157" s="222"/>
      <c r="V157" s="222"/>
      <c r="W157" s="228"/>
      <c r="X157" s="228"/>
    </row>
    <row r="158" spans="1:24" x14ac:dyDescent="0.25">
      <c r="A158" s="217" t="s">
        <v>109</v>
      </c>
      <c r="B158" s="218" t="s">
        <v>76</v>
      </c>
      <c r="C158" s="355"/>
      <c r="D158" s="354"/>
      <c r="E158" s="353"/>
      <c r="F158" s="352">
        <f>SUM(F159:F163)</f>
        <v>0</v>
      </c>
      <c r="G158" s="423">
        <f>SUM(G159:G163)</f>
        <v>0</v>
      </c>
      <c r="H158" s="239"/>
      <c r="I158" s="239"/>
      <c r="J158" s="239"/>
      <c r="K158" s="239"/>
      <c r="L158" s="239"/>
      <c r="M158" s="239"/>
      <c r="N158" s="239"/>
      <c r="O158" s="239"/>
      <c r="P158" s="239"/>
      <c r="Q158" s="250"/>
      <c r="R158" s="261"/>
      <c r="S158" s="236">
        <f>R158-F158</f>
        <v>0</v>
      </c>
      <c r="T158" s="237">
        <f>IF(F158=0,0,S158/F158)</f>
        <v>0</v>
      </c>
      <c r="U158" s="236">
        <f t="shared" si="11"/>
        <v>0</v>
      </c>
      <c r="V158" s="236">
        <f t="shared" si="12"/>
        <v>0</v>
      </c>
      <c r="W158" s="237">
        <f t="shared" si="13"/>
        <v>0</v>
      </c>
      <c r="X158" s="237"/>
    </row>
    <row r="159" spans="1:24" hidden="1" x14ac:dyDescent="0.25">
      <c r="A159" s="152" t="s">
        <v>245</v>
      </c>
      <c r="B159" s="110" t="s">
        <v>297</v>
      </c>
      <c r="C159" s="351"/>
      <c r="D159" s="424"/>
      <c r="E159" s="427"/>
      <c r="F159" s="276">
        <f>D159*E159</f>
        <v>0</v>
      </c>
      <c r="G159" s="418">
        <f>F159*C4</f>
        <v>0</v>
      </c>
      <c r="H159" s="239"/>
      <c r="I159" s="239"/>
      <c r="J159" s="239"/>
      <c r="K159" s="239"/>
      <c r="L159" s="239"/>
      <c r="M159" s="239"/>
      <c r="N159" s="239"/>
      <c r="O159" s="239"/>
      <c r="P159" s="239"/>
      <c r="Q159" s="250"/>
      <c r="R159" s="261"/>
      <c r="S159" s="222">
        <f>R159-F159</f>
        <v>0</v>
      </c>
      <c r="T159" s="228">
        <f>IF(F159=0,0,S159/F159)</f>
        <v>0</v>
      </c>
      <c r="U159" s="222">
        <f t="shared" si="11"/>
        <v>0</v>
      </c>
      <c r="V159" s="222">
        <f t="shared" si="12"/>
        <v>0</v>
      </c>
      <c r="W159" s="228">
        <f t="shared" si="13"/>
        <v>0</v>
      </c>
      <c r="X159" s="228"/>
    </row>
    <row r="160" spans="1:24" hidden="1" x14ac:dyDescent="0.25">
      <c r="A160" s="152" t="s">
        <v>246</v>
      </c>
      <c r="B160" s="110" t="s">
        <v>301</v>
      </c>
      <c r="C160" s="351"/>
      <c r="D160" s="424"/>
      <c r="E160" s="427"/>
      <c r="F160" s="276">
        <f>D160*E160</f>
        <v>0</v>
      </c>
      <c r="G160" s="418">
        <f>F160*C4</f>
        <v>0</v>
      </c>
      <c r="H160" s="239"/>
      <c r="I160" s="239"/>
      <c r="J160" s="239"/>
      <c r="K160" s="239"/>
      <c r="L160" s="239"/>
      <c r="M160" s="239"/>
      <c r="N160" s="239"/>
      <c r="O160" s="239"/>
      <c r="P160" s="239"/>
      <c r="Q160" s="250"/>
      <c r="R160" s="261"/>
      <c r="S160" s="222">
        <f>R160-F160</f>
        <v>0</v>
      </c>
      <c r="T160" s="228">
        <f>IF(F160=0,0,S160/F160)</f>
        <v>0</v>
      </c>
      <c r="U160" s="222">
        <f t="shared" si="11"/>
        <v>0</v>
      </c>
      <c r="V160" s="222">
        <f t="shared" si="12"/>
        <v>0</v>
      </c>
      <c r="W160" s="228">
        <f t="shared" si="13"/>
        <v>0</v>
      </c>
      <c r="X160" s="228"/>
    </row>
    <row r="161" spans="1:24" hidden="1" x14ac:dyDescent="0.25">
      <c r="A161" s="152" t="s">
        <v>247</v>
      </c>
      <c r="B161" s="110" t="s">
        <v>300</v>
      </c>
      <c r="C161" s="351"/>
      <c r="D161" s="424"/>
      <c r="E161" s="427"/>
      <c r="F161" s="276">
        <f>D161*E161</f>
        <v>0</v>
      </c>
      <c r="G161" s="418">
        <f>F161*C4</f>
        <v>0</v>
      </c>
      <c r="H161" s="239"/>
      <c r="I161" s="239"/>
      <c r="J161" s="239"/>
      <c r="K161" s="239"/>
      <c r="L161" s="239"/>
      <c r="M161" s="239"/>
      <c r="N161" s="239"/>
      <c r="O161" s="239"/>
      <c r="P161" s="239"/>
      <c r="Q161" s="250"/>
      <c r="R161" s="261"/>
      <c r="S161" s="222">
        <f>R161-F161</f>
        <v>0</v>
      </c>
      <c r="T161" s="228">
        <f>IF(F161=0,0,S161/F161)</f>
        <v>0</v>
      </c>
      <c r="U161" s="222">
        <f t="shared" si="11"/>
        <v>0</v>
      </c>
      <c r="V161" s="222">
        <f t="shared" si="12"/>
        <v>0</v>
      </c>
      <c r="W161" s="228">
        <f t="shared" si="13"/>
        <v>0</v>
      </c>
      <c r="X161" s="228"/>
    </row>
    <row r="162" spans="1:24" hidden="1" x14ac:dyDescent="0.25">
      <c r="A162" s="152" t="s">
        <v>248</v>
      </c>
      <c r="B162" s="110" t="s">
        <v>299</v>
      </c>
      <c r="C162" s="351"/>
      <c r="D162" s="424"/>
      <c r="E162" s="427"/>
      <c r="F162" s="276">
        <f>D162*E162</f>
        <v>0</v>
      </c>
      <c r="G162" s="418">
        <f>F162*C4</f>
        <v>0</v>
      </c>
      <c r="H162" s="239"/>
      <c r="I162" s="239"/>
      <c r="J162" s="239"/>
      <c r="K162" s="239"/>
      <c r="L162" s="239"/>
      <c r="M162" s="239"/>
      <c r="N162" s="239"/>
      <c r="O162" s="239"/>
      <c r="P162" s="239"/>
      <c r="Q162" s="250"/>
      <c r="R162" s="261"/>
      <c r="S162" s="222">
        <f>R162-F162</f>
        <v>0</v>
      </c>
      <c r="T162" s="228">
        <f>IF(F162=0,0,S162/F162)</f>
        <v>0</v>
      </c>
      <c r="U162" s="222">
        <f t="shared" si="11"/>
        <v>0</v>
      </c>
      <c r="V162" s="222">
        <f t="shared" si="12"/>
        <v>0</v>
      </c>
      <c r="W162" s="228">
        <f t="shared" si="13"/>
        <v>0</v>
      </c>
      <c r="X162" s="228"/>
    </row>
    <row r="163" spans="1:24" hidden="1" x14ac:dyDescent="0.25">
      <c r="A163" s="152"/>
      <c r="B163" s="110"/>
      <c r="C163" s="351"/>
      <c r="D163" s="424"/>
      <c r="E163" s="427"/>
      <c r="F163" s="276"/>
      <c r="G163" s="418"/>
      <c r="H163" s="239"/>
      <c r="I163" s="239"/>
      <c r="J163" s="239"/>
      <c r="K163" s="239"/>
      <c r="L163" s="239"/>
      <c r="M163" s="239"/>
      <c r="N163" s="239"/>
      <c r="O163" s="239"/>
      <c r="P163" s="239"/>
      <c r="Q163" s="250"/>
      <c r="R163" s="261"/>
      <c r="S163" s="222"/>
      <c r="T163" s="228"/>
      <c r="U163" s="222"/>
      <c r="V163" s="222"/>
      <c r="W163" s="228"/>
      <c r="X163" s="228"/>
    </row>
    <row r="164" spans="1:24" x14ac:dyDescent="0.25">
      <c r="B164" s="153"/>
      <c r="C164" s="348"/>
      <c r="D164" s="347"/>
      <c r="E164" s="346"/>
      <c r="F164" s="276"/>
      <c r="G164" s="418"/>
      <c r="H164" s="239"/>
      <c r="I164" s="239"/>
      <c r="J164" s="239"/>
      <c r="K164" s="239"/>
      <c r="L164" s="239"/>
      <c r="M164" s="239"/>
      <c r="N164" s="239"/>
      <c r="O164" s="239"/>
      <c r="P164" s="239"/>
      <c r="Q164" s="250"/>
      <c r="R164" s="256"/>
      <c r="S164" s="222"/>
      <c r="T164" s="228"/>
      <c r="U164" s="222"/>
      <c r="V164" s="222"/>
      <c r="W164" s="228"/>
      <c r="X164" s="228"/>
    </row>
    <row r="165" spans="1:24" ht="13.8" thickBot="1" x14ac:dyDescent="0.3">
      <c r="A165" s="103"/>
      <c r="B165" s="150" t="s">
        <v>130</v>
      </c>
      <c r="C165" s="294"/>
      <c r="D165" s="293"/>
      <c r="E165" s="292"/>
      <c r="F165" s="316">
        <f>SUM(F106+F111+F117+F120+F126+F137+F143+F146+F152+F158)</f>
        <v>397400</v>
      </c>
      <c r="G165" s="316">
        <f>SUM(G106+G111+G117+G120+G126+G137+G143+G146+G152+G158)</f>
        <v>575423.72881355928</v>
      </c>
      <c r="H165" s="286"/>
      <c r="I165" s="286"/>
      <c r="J165" s="286"/>
      <c r="K165" s="286"/>
      <c r="L165" s="286"/>
      <c r="M165" s="286"/>
      <c r="N165" s="286"/>
      <c r="O165" s="286"/>
      <c r="P165" s="286"/>
      <c r="Q165" s="312"/>
      <c r="R165" s="311"/>
      <c r="S165" s="234">
        <f>R165-F165</f>
        <v>-397400</v>
      </c>
      <c r="T165" s="235">
        <f>IF(F165=0,0,S165/F165)</f>
        <v>-1</v>
      </c>
      <c r="U165" s="234">
        <f t="shared" si="11"/>
        <v>0</v>
      </c>
      <c r="V165" s="234">
        <f t="shared" si="12"/>
        <v>-575423.72881355928</v>
      </c>
      <c r="W165" s="235">
        <f t="shared" si="13"/>
        <v>-1</v>
      </c>
      <c r="X165" s="235"/>
    </row>
    <row r="166" spans="1:24" ht="13.8" thickTop="1" x14ac:dyDescent="0.25">
      <c r="C166" s="83"/>
      <c r="D166" s="267"/>
      <c r="E166" s="266"/>
      <c r="G166" s="265"/>
      <c r="H166" s="345"/>
      <c r="I166" s="345"/>
      <c r="J166" s="345"/>
      <c r="K166" s="345"/>
      <c r="L166" s="345"/>
      <c r="M166" s="345"/>
      <c r="N166" s="345"/>
      <c r="O166" s="345"/>
      <c r="P166" s="345"/>
      <c r="Q166" s="344"/>
      <c r="R166" s="343"/>
      <c r="S166" s="222"/>
      <c r="T166" s="228"/>
      <c r="U166" s="222"/>
      <c r="V166" s="222"/>
      <c r="W166" s="228"/>
      <c r="X166" s="228"/>
    </row>
    <row r="167" spans="1:24" x14ac:dyDescent="0.25">
      <c r="A167" s="129">
        <v>3</v>
      </c>
      <c r="B167" s="130" t="s">
        <v>133</v>
      </c>
      <c r="C167" s="329"/>
      <c r="D167" s="328"/>
      <c r="E167" s="327"/>
      <c r="F167" s="327"/>
      <c r="G167" s="422"/>
      <c r="H167" s="238"/>
      <c r="I167" s="238"/>
      <c r="J167" s="238"/>
      <c r="K167" s="238"/>
      <c r="L167" s="238"/>
      <c r="M167" s="238"/>
      <c r="N167" s="238"/>
      <c r="O167" s="238"/>
      <c r="P167" s="238"/>
      <c r="Q167" s="251"/>
      <c r="R167" s="259"/>
      <c r="S167" s="227"/>
      <c r="T167" s="229"/>
      <c r="U167" s="227"/>
      <c r="V167" s="227"/>
      <c r="W167" s="229"/>
      <c r="X167" s="229"/>
    </row>
    <row r="168" spans="1:24" x14ac:dyDescent="0.25">
      <c r="A168" s="161" t="s">
        <v>567</v>
      </c>
      <c r="B168" s="144" t="s">
        <v>116</v>
      </c>
      <c r="C168" s="310"/>
      <c r="D168" s="339"/>
      <c r="E168" s="338"/>
      <c r="F168" s="320">
        <f t="shared" ref="F168:F178" si="14">D168*E168</f>
        <v>0</v>
      </c>
      <c r="G168" s="429">
        <f>F168*C4</f>
        <v>0</v>
      </c>
      <c r="H168" s="239"/>
      <c r="I168" s="239"/>
      <c r="J168" s="239"/>
      <c r="K168" s="239"/>
      <c r="L168" s="239"/>
      <c r="M168" s="239"/>
      <c r="N168" s="239"/>
      <c r="O168" s="239"/>
      <c r="P168" s="239"/>
      <c r="Q168" s="250"/>
      <c r="R168" s="261"/>
      <c r="S168" s="222">
        <f t="shared" ref="S168:S173" si="15">R168-F168</f>
        <v>0</v>
      </c>
      <c r="T168" s="228">
        <f t="shared" ref="T168:T173" si="16">IF(F168=0,0,S168/F168)</f>
        <v>0</v>
      </c>
      <c r="U168" s="222">
        <f t="shared" si="11"/>
        <v>0</v>
      </c>
      <c r="V168" s="222">
        <f t="shared" si="12"/>
        <v>0</v>
      </c>
      <c r="W168" s="228">
        <f t="shared" si="13"/>
        <v>0</v>
      </c>
      <c r="X168" s="228"/>
    </row>
    <row r="169" spans="1:24" x14ac:dyDescent="0.25">
      <c r="A169" s="161" t="s">
        <v>568</v>
      </c>
      <c r="B169" s="144" t="s">
        <v>52</v>
      </c>
      <c r="C169" s="310"/>
      <c r="D169" s="339"/>
      <c r="E169" s="338"/>
      <c r="F169" s="320">
        <f t="shared" si="14"/>
        <v>0</v>
      </c>
      <c r="G169" s="429">
        <f>F169*C4</f>
        <v>0</v>
      </c>
      <c r="H169" s="239"/>
      <c r="I169" s="239"/>
      <c r="J169" s="239"/>
      <c r="K169" s="239"/>
      <c r="L169" s="239"/>
      <c r="M169" s="239"/>
      <c r="N169" s="239"/>
      <c r="O169" s="239"/>
      <c r="P169" s="239"/>
      <c r="Q169" s="250"/>
      <c r="R169" s="261"/>
      <c r="S169" s="222">
        <f t="shared" si="15"/>
        <v>0</v>
      </c>
      <c r="T169" s="228">
        <f t="shared" si="16"/>
        <v>0</v>
      </c>
      <c r="U169" s="222">
        <f t="shared" si="11"/>
        <v>0</v>
      </c>
      <c r="V169" s="222">
        <f t="shared" si="12"/>
        <v>0</v>
      </c>
      <c r="W169" s="228">
        <f t="shared" si="13"/>
        <v>0</v>
      </c>
      <c r="X169" s="228"/>
    </row>
    <row r="170" spans="1:24" x14ac:dyDescent="0.25">
      <c r="A170" s="161" t="s">
        <v>569</v>
      </c>
      <c r="B170" s="144" t="s">
        <v>313</v>
      </c>
      <c r="C170" s="342"/>
      <c r="D170" s="339"/>
      <c r="E170" s="339"/>
      <c r="F170" s="320">
        <f t="shared" si="14"/>
        <v>0</v>
      </c>
      <c r="G170" s="429">
        <f>F170*C4</f>
        <v>0</v>
      </c>
      <c r="H170" s="239"/>
      <c r="I170" s="239"/>
      <c r="J170" s="239"/>
      <c r="K170" s="239"/>
      <c r="L170" s="239"/>
      <c r="M170" s="239"/>
      <c r="N170" s="239"/>
      <c r="O170" s="239"/>
      <c r="P170" s="239"/>
      <c r="Q170" s="250"/>
      <c r="R170" s="261"/>
      <c r="S170" s="222">
        <f t="shared" si="15"/>
        <v>0</v>
      </c>
      <c r="T170" s="228">
        <f t="shared" si="16"/>
        <v>0</v>
      </c>
      <c r="U170" s="222">
        <f t="shared" si="11"/>
        <v>0</v>
      </c>
      <c r="V170" s="222">
        <f t="shared" si="12"/>
        <v>0</v>
      </c>
      <c r="W170" s="228">
        <f t="shared" si="13"/>
        <v>0</v>
      </c>
      <c r="X170" s="228"/>
    </row>
    <row r="171" spans="1:24" x14ac:dyDescent="0.25">
      <c r="A171" s="161" t="s">
        <v>570</v>
      </c>
      <c r="B171" s="144" t="s">
        <v>146</v>
      </c>
      <c r="C171" s="342"/>
      <c r="D171" s="339"/>
      <c r="E171" s="339"/>
      <c r="F171" s="320">
        <f t="shared" si="14"/>
        <v>0</v>
      </c>
      <c r="G171" s="429">
        <f>F171*C4</f>
        <v>0</v>
      </c>
      <c r="H171" s="239"/>
      <c r="I171" s="239"/>
      <c r="J171" s="239"/>
      <c r="K171" s="239"/>
      <c r="L171" s="239"/>
      <c r="M171" s="239"/>
      <c r="N171" s="239"/>
      <c r="O171" s="239"/>
      <c r="P171" s="239"/>
      <c r="Q171" s="250"/>
      <c r="R171" s="261"/>
      <c r="S171" s="222">
        <f t="shared" si="15"/>
        <v>0</v>
      </c>
      <c r="T171" s="228">
        <f t="shared" si="16"/>
        <v>0</v>
      </c>
      <c r="U171" s="222">
        <f t="shared" si="11"/>
        <v>0</v>
      </c>
      <c r="V171" s="222">
        <f t="shared" si="12"/>
        <v>0</v>
      </c>
      <c r="W171" s="228">
        <f t="shared" si="13"/>
        <v>0</v>
      </c>
      <c r="X171" s="228"/>
    </row>
    <row r="172" spans="1:24" ht="15" customHeight="1" x14ac:dyDescent="0.25">
      <c r="A172" s="161" t="s">
        <v>571</v>
      </c>
      <c r="B172" s="144" t="s">
        <v>147</v>
      </c>
      <c r="C172" s="430" t="s">
        <v>399</v>
      </c>
      <c r="D172" s="339">
        <v>12</v>
      </c>
      <c r="E172" s="339">
        <v>100</v>
      </c>
      <c r="F172" s="320">
        <f t="shared" si="14"/>
        <v>1200</v>
      </c>
      <c r="G172" s="429">
        <f>F172*C4</f>
        <v>1694.9152542372883</v>
      </c>
      <c r="H172" s="239"/>
      <c r="I172" s="239"/>
      <c r="J172" s="239"/>
      <c r="K172" s="239"/>
      <c r="L172" s="239"/>
      <c r="M172" s="239"/>
      <c r="N172" s="239"/>
      <c r="O172" s="239"/>
      <c r="P172" s="239"/>
      <c r="Q172" s="250"/>
      <c r="R172" s="261"/>
      <c r="S172" s="222">
        <f t="shared" si="15"/>
        <v>-1200</v>
      </c>
      <c r="T172" s="228">
        <f t="shared" si="16"/>
        <v>-1</v>
      </c>
      <c r="U172" s="222">
        <f t="shared" si="11"/>
        <v>0</v>
      </c>
      <c r="V172" s="222">
        <f t="shared" si="12"/>
        <v>-1694.9152542372883</v>
      </c>
      <c r="W172" s="228">
        <f t="shared" si="13"/>
        <v>-1</v>
      </c>
      <c r="X172" s="228"/>
    </row>
    <row r="173" spans="1:24" ht="15" customHeight="1" x14ac:dyDescent="0.25">
      <c r="A173" s="161" t="s">
        <v>572</v>
      </c>
      <c r="B173" s="144" t="s">
        <v>251</v>
      </c>
      <c r="C173" s="430"/>
      <c r="D173" s="339"/>
      <c r="E173" s="339"/>
      <c r="F173" s="320">
        <f t="shared" si="14"/>
        <v>0</v>
      </c>
      <c r="G173" s="429">
        <f>F173*C4</f>
        <v>0</v>
      </c>
      <c r="H173" s="239"/>
      <c r="I173" s="239"/>
      <c r="J173" s="239"/>
      <c r="K173" s="239"/>
      <c r="L173" s="239"/>
      <c r="M173" s="239"/>
      <c r="N173" s="239"/>
      <c r="O173" s="239"/>
      <c r="P173" s="239"/>
      <c r="Q173" s="250"/>
      <c r="R173" s="261"/>
      <c r="S173" s="222">
        <f t="shared" si="15"/>
        <v>0</v>
      </c>
      <c r="T173" s="228">
        <f t="shared" si="16"/>
        <v>0</v>
      </c>
      <c r="U173" s="222">
        <f t="shared" si="11"/>
        <v>0</v>
      </c>
      <c r="V173" s="222">
        <f t="shared" si="12"/>
        <v>0</v>
      </c>
      <c r="W173" s="228">
        <f t="shared" si="13"/>
        <v>0</v>
      </c>
      <c r="X173" s="228"/>
    </row>
    <row r="174" spans="1:24" ht="15" customHeight="1" x14ac:dyDescent="0.25">
      <c r="A174" s="161" t="s">
        <v>573</v>
      </c>
      <c r="B174" s="144" t="s">
        <v>312</v>
      </c>
      <c r="C174" s="430"/>
      <c r="D174" s="339"/>
      <c r="E174" s="339"/>
      <c r="F174" s="320">
        <f t="shared" si="14"/>
        <v>0</v>
      </c>
      <c r="G174" s="429">
        <f>F174*C4</f>
        <v>0</v>
      </c>
      <c r="H174" s="239"/>
      <c r="I174" s="239"/>
      <c r="J174" s="239"/>
      <c r="K174" s="239"/>
      <c r="L174" s="239"/>
      <c r="M174" s="239"/>
      <c r="N174" s="239"/>
      <c r="O174" s="239"/>
      <c r="P174" s="239"/>
      <c r="Q174" s="250"/>
      <c r="R174" s="261"/>
      <c r="S174" s="222"/>
      <c r="T174" s="228"/>
      <c r="U174" s="222"/>
      <c r="V174" s="222"/>
      <c r="W174" s="228"/>
      <c r="X174" s="228"/>
    </row>
    <row r="175" spans="1:24" ht="15" customHeight="1" x14ac:dyDescent="0.25">
      <c r="A175" s="161" t="s">
        <v>574</v>
      </c>
      <c r="B175" s="144" t="s">
        <v>308</v>
      </c>
      <c r="C175" s="430"/>
      <c r="D175" s="339"/>
      <c r="E175" s="339"/>
      <c r="F175" s="320">
        <f t="shared" si="14"/>
        <v>0</v>
      </c>
      <c r="G175" s="429">
        <f>F175*C4</f>
        <v>0</v>
      </c>
      <c r="H175" s="239"/>
      <c r="I175" s="239"/>
      <c r="J175" s="239"/>
      <c r="K175" s="239"/>
      <c r="L175" s="239"/>
      <c r="M175" s="239"/>
      <c r="N175" s="239"/>
      <c r="O175" s="239"/>
      <c r="P175" s="239"/>
      <c r="Q175" s="250"/>
      <c r="R175" s="261"/>
      <c r="S175" s="222"/>
      <c r="T175" s="228"/>
      <c r="U175" s="222"/>
      <c r="V175" s="222"/>
      <c r="W175" s="228"/>
      <c r="X175" s="228"/>
    </row>
    <row r="176" spans="1:24" x14ac:dyDescent="0.25">
      <c r="A176" s="161" t="s">
        <v>575</v>
      </c>
      <c r="B176" s="144" t="s">
        <v>145</v>
      </c>
      <c r="C176" s="430" t="s">
        <v>399</v>
      </c>
      <c r="D176" s="339">
        <v>12</v>
      </c>
      <c r="E176" s="339">
        <v>100</v>
      </c>
      <c r="F176" s="320">
        <f t="shared" si="14"/>
        <v>1200</v>
      </c>
      <c r="G176" s="429">
        <f>F176*C4</f>
        <v>1694.9152542372883</v>
      </c>
      <c r="H176" s="239"/>
      <c r="I176" s="239"/>
      <c r="J176" s="239"/>
      <c r="K176" s="239"/>
      <c r="L176" s="239"/>
      <c r="M176" s="239"/>
      <c r="N176" s="239"/>
      <c r="O176" s="239"/>
      <c r="P176" s="239"/>
      <c r="Q176" s="250"/>
      <c r="R176" s="261"/>
      <c r="S176" s="222">
        <f>R176-F176</f>
        <v>-1200</v>
      </c>
      <c r="T176" s="228">
        <f>IF(F176=0,0,S176/F176)</f>
        <v>-1</v>
      </c>
      <c r="U176" s="222">
        <f t="shared" si="11"/>
        <v>0</v>
      </c>
      <c r="V176" s="222">
        <f t="shared" si="12"/>
        <v>-1694.9152542372883</v>
      </c>
      <c r="W176" s="228">
        <f t="shared" si="13"/>
        <v>-1</v>
      </c>
      <c r="X176" s="228"/>
    </row>
    <row r="177" spans="1:24" x14ac:dyDescent="0.25">
      <c r="A177" s="161" t="s">
        <v>576</v>
      </c>
      <c r="B177" s="144" t="s">
        <v>171</v>
      </c>
      <c r="C177" s="430" t="s">
        <v>577</v>
      </c>
      <c r="D177" s="339">
        <v>1</v>
      </c>
      <c r="E177" s="339">
        <v>2000</v>
      </c>
      <c r="F177" s="320">
        <f t="shared" si="14"/>
        <v>2000</v>
      </c>
      <c r="G177" s="429">
        <f>F177*C4</f>
        <v>2824.8587570621471</v>
      </c>
      <c r="H177" s="239"/>
      <c r="I177" s="239"/>
      <c r="J177" s="239"/>
      <c r="K177" s="239"/>
      <c r="L177" s="239"/>
      <c r="M177" s="239"/>
      <c r="N177" s="239"/>
      <c r="O177" s="239"/>
      <c r="P177" s="239"/>
      <c r="Q177" s="250"/>
      <c r="R177" s="261"/>
      <c r="S177" s="222">
        <f>R177-F177</f>
        <v>-2000</v>
      </c>
      <c r="T177" s="228">
        <f>IF(F177=0,0,S177/F177)</f>
        <v>-1</v>
      </c>
      <c r="U177" s="222">
        <f>R177*$C$4</f>
        <v>0</v>
      </c>
      <c r="V177" s="222">
        <f>U177-G177</f>
        <v>-2824.8587570621471</v>
      </c>
      <c r="W177" s="228">
        <f>IF(G177=0,0,V177/G177)</f>
        <v>-1</v>
      </c>
      <c r="X177" s="228"/>
    </row>
    <row r="178" spans="1:24" x14ac:dyDescent="0.25">
      <c r="A178" s="161" t="s">
        <v>578</v>
      </c>
      <c r="B178" s="144" t="s">
        <v>579</v>
      </c>
      <c r="C178" s="430" t="s">
        <v>580</v>
      </c>
      <c r="D178" s="339">
        <v>2</v>
      </c>
      <c r="E178" s="339">
        <v>700</v>
      </c>
      <c r="F178" s="320">
        <f t="shared" si="14"/>
        <v>1400</v>
      </c>
      <c r="G178" s="429">
        <f>F178*C4</f>
        <v>1977.4011299435028</v>
      </c>
      <c r="H178" s="239"/>
      <c r="I178" s="239"/>
      <c r="J178" s="239"/>
      <c r="K178" s="239"/>
      <c r="L178" s="239"/>
      <c r="M178" s="239"/>
      <c r="N178" s="239"/>
      <c r="O178" s="239"/>
      <c r="P178" s="239"/>
      <c r="Q178" s="250"/>
      <c r="R178" s="261"/>
      <c r="S178" s="222">
        <f>R178-F178</f>
        <v>-1400</v>
      </c>
      <c r="T178" s="228">
        <f>IF(F178=0,0,S178/F178)</f>
        <v>-1</v>
      </c>
      <c r="U178" s="222">
        <f t="shared" si="11"/>
        <v>0</v>
      </c>
      <c r="V178" s="222">
        <f t="shared" si="12"/>
        <v>-1977.4011299435028</v>
      </c>
      <c r="W178" s="228">
        <f t="shared" si="13"/>
        <v>-1</v>
      </c>
      <c r="X178" s="228"/>
    </row>
    <row r="179" spans="1:24" x14ac:dyDescent="0.25">
      <c r="B179" s="113"/>
      <c r="C179" s="83"/>
      <c r="D179" s="267"/>
      <c r="E179" s="266"/>
      <c r="G179" s="276"/>
      <c r="H179" s="345"/>
      <c r="I179" s="345"/>
      <c r="J179" s="345"/>
      <c r="K179" s="345"/>
      <c r="L179" s="345"/>
      <c r="M179" s="345"/>
      <c r="N179" s="345"/>
      <c r="O179" s="345"/>
      <c r="P179" s="345"/>
      <c r="Q179" s="344"/>
      <c r="R179" s="343"/>
      <c r="S179" s="222"/>
      <c r="T179" s="228"/>
      <c r="U179" s="222"/>
      <c r="V179" s="222"/>
      <c r="W179" s="228"/>
      <c r="X179" s="228"/>
    </row>
    <row r="180" spans="1:24" ht="13.8" thickBot="1" x14ac:dyDescent="0.3">
      <c r="A180" s="103"/>
      <c r="B180" s="150" t="s">
        <v>114</v>
      </c>
      <c r="C180" s="294"/>
      <c r="D180" s="293"/>
      <c r="E180" s="292"/>
      <c r="F180" s="316">
        <f>SUM(F168:F178)</f>
        <v>5800</v>
      </c>
      <c r="G180" s="316">
        <f>SUM(G168:G178)</f>
        <v>8192.090395480227</v>
      </c>
      <c r="H180" s="286"/>
      <c r="I180" s="286"/>
      <c r="J180" s="286"/>
      <c r="K180" s="286"/>
      <c r="L180" s="286"/>
      <c r="M180" s="286"/>
      <c r="N180" s="286"/>
      <c r="O180" s="286"/>
      <c r="P180" s="286"/>
      <c r="Q180" s="312"/>
      <c r="R180" s="311"/>
      <c r="S180" s="234">
        <f>R180-F180</f>
        <v>-5800</v>
      </c>
      <c r="T180" s="235">
        <f>IF(F180=0,0,S180/F180)</f>
        <v>-1</v>
      </c>
      <c r="U180" s="234">
        <f t="shared" si="11"/>
        <v>0</v>
      </c>
      <c r="V180" s="234">
        <f t="shared" si="12"/>
        <v>-8192.090395480227</v>
      </c>
      <c r="W180" s="235">
        <f t="shared" si="13"/>
        <v>-1</v>
      </c>
      <c r="X180" s="235"/>
    </row>
    <row r="181" spans="1:24" ht="13.8" thickTop="1" x14ac:dyDescent="0.25">
      <c r="B181" s="81"/>
      <c r="C181" s="341"/>
      <c r="D181" s="340"/>
      <c r="E181" s="268"/>
      <c r="F181" s="276"/>
      <c r="G181" s="431"/>
      <c r="H181" s="239"/>
      <c r="I181" s="239"/>
      <c r="J181" s="239"/>
      <c r="K181" s="239"/>
      <c r="L181" s="239"/>
      <c r="M181" s="239"/>
      <c r="N181" s="239"/>
      <c r="O181" s="239"/>
      <c r="P181" s="239"/>
      <c r="Q181" s="250"/>
      <c r="R181" s="256"/>
      <c r="S181" s="222"/>
      <c r="T181" s="228"/>
      <c r="U181" s="222"/>
      <c r="V181" s="222"/>
      <c r="W181" s="228"/>
      <c r="X181" s="228"/>
    </row>
    <row r="182" spans="1:24" x14ac:dyDescent="0.25">
      <c r="A182" s="129">
        <v>4</v>
      </c>
      <c r="B182" s="130" t="s">
        <v>113</v>
      </c>
      <c r="C182" s="329"/>
      <c r="D182" s="328"/>
      <c r="E182" s="327"/>
      <c r="F182" s="327"/>
      <c r="G182" s="422"/>
      <c r="H182" s="238"/>
      <c r="I182" s="238"/>
      <c r="J182" s="238"/>
      <c r="K182" s="238"/>
      <c r="L182" s="238"/>
      <c r="M182" s="238"/>
      <c r="N182" s="238"/>
      <c r="O182" s="238"/>
      <c r="P182" s="238"/>
      <c r="Q182" s="251"/>
      <c r="R182" s="259"/>
      <c r="S182" s="227"/>
      <c r="T182" s="229"/>
      <c r="U182" s="227"/>
      <c r="V182" s="227"/>
      <c r="W182" s="229"/>
      <c r="X182" s="229"/>
    </row>
    <row r="183" spans="1:24" x14ac:dyDescent="0.25">
      <c r="A183" s="74" t="s">
        <v>19</v>
      </c>
      <c r="B183" s="81"/>
      <c r="C183" s="341"/>
      <c r="D183" s="340"/>
      <c r="E183" s="268"/>
      <c r="F183" s="276"/>
      <c r="G183" s="431"/>
      <c r="H183" s="239"/>
      <c r="I183" s="239"/>
      <c r="J183" s="239"/>
      <c r="K183" s="239"/>
      <c r="L183" s="239"/>
      <c r="M183" s="239"/>
      <c r="N183" s="239"/>
      <c r="O183" s="239"/>
      <c r="P183" s="239"/>
      <c r="Q183" s="250"/>
      <c r="R183" s="256"/>
      <c r="S183" s="222"/>
      <c r="T183" s="228"/>
      <c r="U183" s="222"/>
      <c r="V183" s="222"/>
      <c r="W183" s="228"/>
      <c r="X183" s="228"/>
    </row>
    <row r="184" spans="1:24" x14ac:dyDescent="0.25">
      <c r="A184" s="81" t="s">
        <v>581</v>
      </c>
      <c r="B184" s="167" t="s">
        <v>582</v>
      </c>
      <c r="C184" s="430" t="s">
        <v>399</v>
      </c>
      <c r="D184" s="338">
        <v>12</v>
      </c>
      <c r="E184" s="339">
        <v>1100</v>
      </c>
      <c r="F184" s="276">
        <f>D184*E184</f>
        <v>13200</v>
      </c>
      <c r="G184" s="431">
        <f>F184*C4</f>
        <v>18644.067796610172</v>
      </c>
      <c r="H184" s="239"/>
      <c r="I184" s="239"/>
      <c r="J184" s="239"/>
      <c r="K184" s="239"/>
      <c r="L184" s="239"/>
      <c r="M184" s="239"/>
      <c r="N184" s="239"/>
      <c r="O184" s="239"/>
      <c r="P184" s="239"/>
      <c r="Q184" s="250"/>
      <c r="R184" s="261"/>
      <c r="S184" s="222">
        <f>R184-F184</f>
        <v>-13200</v>
      </c>
      <c r="T184" s="228">
        <f>IF(F184=0,0,S184/F184)</f>
        <v>-1</v>
      </c>
      <c r="U184" s="222">
        <f t="shared" si="11"/>
        <v>0</v>
      </c>
      <c r="V184" s="222">
        <f t="shared" si="12"/>
        <v>-18644.067796610172</v>
      </c>
      <c r="W184" s="228">
        <f t="shared" si="13"/>
        <v>-1</v>
      </c>
      <c r="X184" s="228"/>
    </row>
    <row r="185" spans="1:24" ht="26.4" x14ac:dyDescent="0.25">
      <c r="A185" s="81" t="s">
        <v>583</v>
      </c>
      <c r="B185" s="167" t="s">
        <v>584</v>
      </c>
      <c r="C185" s="430" t="s">
        <v>399</v>
      </c>
      <c r="D185" s="338">
        <v>12</v>
      </c>
      <c r="E185" s="339">
        <v>350</v>
      </c>
      <c r="F185" s="276">
        <f>D185*E185</f>
        <v>4200</v>
      </c>
      <c r="G185" s="431">
        <f>F185*C4</f>
        <v>5932.203389830509</v>
      </c>
      <c r="H185" s="239"/>
      <c r="I185" s="239"/>
      <c r="J185" s="239"/>
      <c r="K185" s="239"/>
      <c r="L185" s="239"/>
      <c r="M185" s="239"/>
      <c r="N185" s="239"/>
      <c r="O185" s="239"/>
      <c r="P185" s="239"/>
      <c r="Q185" s="250"/>
      <c r="R185" s="261"/>
      <c r="S185" s="222">
        <f>R185-F185</f>
        <v>-4200</v>
      </c>
      <c r="T185" s="228">
        <f>IF(F185=0,0,S185/F185)</f>
        <v>-1</v>
      </c>
      <c r="U185" s="222">
        <f t="shared" si="11"/>
        <v>0</v>
      </c>
      <c r="V185" s="222">
        <f t="shared" si="12"/>
        <v>-5932.203389830509</v>
      </c>
      <c r="W185" s="228">
        <f t="shared" si="13"/>
        <v>-1</v>
      </c>
      <c r="X185" s="228"/>
    </row>
    <row r="186" spans="1:24" x14ac:dyDescent="0.25">
      <c r="A186" s="74" t="s">
        <v>7</v>
      </c>
      <c r="B186" s="141"/>
      <c r="C186" s="337"/>
      <c r="D186" s="336"/>
      <c r="E186" s="335"/>
      <c r="F186" s="276"/>
      <c r="G186" s="431"/>
      <c r="H186" s="239"/>
      <c r="I186" s="239"/>
      <c r="J186" s="239"/>
      <c r="K186" s="239"/>
      <c r="L186" s="239"/>
      <c r="M186" s="239"/>
      <c r="N186" s="239"/>
      <c r="O186" s="239"/>
      <c r="P186" s="239"/>
      <c r="Q186" s="250"/>
      <c r="R186" s="256"/>
      <c r="S186" s="222"/>
      <c r="T186" s="228"/>
      <c r="U186" s="222"/>
      <c r="V186" s="222"/>
      <c r="W186" s="228"/>
      <c r="X186" s="228"/>
    </row>
    <row r="187" spans="1:24" ht="26.4" x14ac:dyDescent="0.25">
      <c r="A187" s="81" t="s">
        <v>585</v>
      </c>
      <c r="B187" s="167" t="s">
        <v>586</v>
      </c>
      <c r="C187" s="310" t="s">
        <v>544</v>
      </c>
      <c r="D187" s="339">
        <v>2</v>
      </c>
      <c r="E187" s="338">
        <f>(7000*0.708)+350</f>
        <v>5306</v>
      </c>
      <c r="F187" s="276">
        <f>D187*E187</f>
        <v>10612</v>
      </c>
      <c r="G187" s="418">
        <f>F187*C4</f>
        <v>14988.700564971752</v>
      </c>
      <c r="H187" s="239"/>
      <c r="I187" s="239"/>
      <c r="J187" s="239"/>
      <c r="K187" s="239"/>
      <c r="L187" s="239"/>
      <c r="M187" s="239"/>
      <c r="N187" s="239"/>
      <c r="O187" s="239"/>
      <c r="P187" s="239"/>
      <c r="Q187" s="250"/>
      <c r="R187" s="261"/>
      <c r="S187" s="222">
        <f>R187-F187</f>
        <v>-10612</v>
      </c>
      <c r="T187" s="228">
        <f>IF(F187=0,0,S187/F187)</f>
        <v>-1</v>
      </c>
      <c r="U187" s="222">
        <f t="shared" si="11"/>
        <v>0</v>
      </c>
      <c r="V187" s="222">
        <f t="shared" si="12"/>
        <v>-14988.700564971752</v>
      </c>
      <c r="W187" s="228">
        <f t="shared" si="13"/>
        <v>-1</v>
      </c>
      <c r="X187" s="228"/>
    </row>
    <row r="188" spans="1:24" x14ac:dyDescent="0.25">
      <c r="A188" s="81" t="s">
        <v>587</v>
      </c>
      <c r="B188" s="141" t="s">
        <v>51</v>
      </c>
      <c r="C188" s="310"/>
      <c r="D188" s="339"/>
      <c r="E188" s="432"/>
      <c r="F188" s="276">
        <f>D188*E188</f>
        <v>0</v>
      </c>
      <c r="G188" s="418">
        <f>F188*C4</f>
        <v>0</v>
      </c>
      <c r="H188" s="239"/>
      <c r="I188" s="239"/>
      <c r="J188" s="239"/>
      <c r="K188" s="239"/>
      <c r="L188" s="239"/>
      <c r="M188" s="239"/>
      <c r="N188" s="239"/>
      <c r="O188" s="239"/>
      <c r="P188" s="239"/>
      <c r="Q188" s="250"/>
      <c r="R188" s="261"/>
      <c r="S188" s="222">
        <f>R188-F188</f>
        <v>0</v>
      </c>
      <c r="T188" s="228">
        <f>IF(F188=0,0,S188/F188)</f>
        <v>0</v>
      </c>
      <c r="U188" s="222">
        <f t="shared" si="11"/>
        <v>0</v>
      </c>
      <c r="V188" s="222">
        <f t="shared" si="12"/>
        <v>0</v>
      </c>
      <c r="W188" s="228">
        <f t="shared" si="13"/>
        <v>0</v>
      </c>
      <c r="X188" s="228"/>
    </row>
    <row r="189" spans="1:24" x14ac:dyDescent="0.25">
      <c r="A189" s="74" t="s">
        <v>8</v>
      </c>
      <c r="B189" s="141"/>
      <c r="C189" s="334"/>
      <c r="D189" s="333"/>
      <c r="E189" s="332"/>
      <c r="F189" s="276"/>
      <c r="G189" s="431"/>
      <c r="H189" s="239"/>
      <c r="I189" s="239"/>
      <c r="J189" s="239"/>
      <c r="K189" s="239"/>
      <c r="L189" s="239"/>
      <c r="M189" s="239"/>
      <c r="N189" s="239"/>
      <c r="O189" s="239"/>
      <c r="P189" s="239"/>
      <c r="Q189" s="250"/>
      <c r="R189" s="256"/>
      <c r="S189" s="222"/>
      <c r="T189" s="228"/>
      <c r="U189" s="222"/>
      <c r="V189" s="222"/>
      <c r="W189" s="228"/>
      <c r="X189" s="228"/>
    </row>
    <row r="190" spans="1:24" ht="26.4" x14ac:dyDescent="0.25">
      <c r="A190" s="81" t="s">
        <v>588</v>
      </c>
      <c r="B190" s="144" t="s">
        <v>589</v>
      </c>
      <c r="C190" s="310" t="s">
        <v>399</v>
      </c>
      <c r="D190" s="339">
        <v>12</v>
      </c>
      <c r="E190" s="338">
        <f>(650+(650*0.1425)+40+(3000*0.708/12))*0.2</f>
        <v>191.92500000000001</v>
      </c>
      <c r="F190" s="276">
        <f>D190*E190</f>
        <v>2303.1000000000004</v>
      </c>
      <c r="G190" s="431">
        <f>F190*C4</f>
        <v>3252.9661016949158</v>
      </c>
      <c r="H190" s="239"/>
      <c r="I190" s="239"/>
      <c r="J190" s="239"/>
      <c r="K190" s="239"/>
      <c r="L190" s="239"/>
      <c r="M190" s="239"/>
      <c r="N190" s="239"/>
      <c r="O190" s="239"/>
      <c r="P190" s="239"/>
      <c r="Q190" s="250"/>
      <c r="R190" s="261"/>
      <c r="S190" s="222">
        <f>R190-F190</f>
        <v>-2303.1000000000004</v>
      </c>
      <c r="T190" s="228">
        <f>IF(F190=0,0,S190/F190)</f>
        <v>-1</v>
      </c>
      <c r="U190" s="222">
        <f t="shared" si="11"/>
        <v>0</v>
      </c>
      <c r="V190" s="222">
        <f t="shared" si="12"/>
        <v>-3252.9661016949158</v>
      </c>
      <c r="W190" s="228">
        <f t="shared" si="13"/>
        <v>-1</v>
      </c>
      <c r="X190" s="228"/>
    </row>
    <row r="191" spans="1:24" x14ac:dyDescent="0.25">
      <c r="A191" s="81" t="s">
        <v>590</v>
      </c>
      <c r="B191" s="153" t="s">
        <v>54</v>
      </c>
      <c r="C191" s="310"/>
      <c r="D191" s="339"/>
      <c r="E191" s="432"/>
      <c r="F191" s="276">
        <f>D191*E191</f>
        <v>0</v>
      </c>
      <c r="G191" s="431">
        <f>F191*C4</f>
        <v>0</v>
      </c>
      <c r="H191" s="239"/>
      <c r="I191" s="239"/>
      <c r="J191" s="239"/>
      <c r="K191" s="239"/>
      <c r="L191" s="239"/>
      <c r="M191" s="239"/>
      <c r="N191" s="239"/>
      <c r="O191" s="239"/>
      <c r="P191" s="239"/>
      <c r="Q191" s="250"/>
      <c r="R191" s="261"/>
      <c r="S191" s="222">
        <f>R191-F191</f>
        <v>0</v>
      </c>
      <c r="T191" s="228">
        <f>IF(F191=0,0,S191/F191)</f>
        <v>0</v>
      </c>
      <c r="U191" s="222">
        <f t="shared" si="11"/>
        <v>0</v>
      </c>
      <c r="V191" s="222">
        <f t="shared" si="12"/>
        <v>0</v>
      </c>
      <c r="W191" s="228">
        <f t="shared" si="13"/>
        <v>0</v>
      </c>
      <c r="X191" s="228"/>
    </row>
    <row r="192" spans="1:24" x14ac:dyDescent="0.25">
      <c r="A192" s="81" t="s">
        <v>591</v>
      </c>
      <c r="B192" s="153" t="s">
        <v>592</v>
      </c>
      <c r="C192" s="310" t="s">
        <v>399</v>
      </c>
      <c r="D192" s="339">
        <v>12</v>
      </c>
      <c r="E192" s="338">
        <f>(625+(625*0.1425)+40+(3000*0.708/12))*0.5</f>
        <v>465.53125</v>
      </c>
      <c r="F192" s="276">
        <f>D192*E192</f>
        <v>5586.375</v>
      </c>
      <c r="G192" s="431">
        <f>F192*C4</f>
        <v>7890.360169491526</v>
      </c>
      <c r="H192" s="239"/>
      <c r="I192" s="239"/>
      <c r="J192" s="239"/>
      <c r="K192" s="239"/>
      <c r="L192" s="239"/>
      <c r="M192" s="239"/>
      <c r="N192" s="239"/>
      <c r="O192" s="239"/>
      <c r="P192" s="239"/>
      <c r="Q192" s="250"/>
      <c r="R192" s="261"/>
      <c r="S192" s="222">
        <f>R192-F192</f>
        <v>-5586.375</v>
      </c>
      <c r="T192" s="228">
        <f>IF(F192=0,0,S192/F192)</f>
        <v>-1</v>
      </c>
      <c r="U192" s="222">
        <f t="shared" si="11"/>
        <v>0</v>
      </c>
      <c r="V192" s="222">
        <f t="shared" si="12"/>
        <v>-7890.360169491526</v>
      </c>
      <c r="W192" s="228">
        <f t="shared" si="13"/>
        <v>-1</v>
      </c>
      <c r="X192" s="228"/>
    </row>
    <row r="193" spans="1:24" x14ac:dyDescent="0.25">
      <c r="A193" s="81" t="s">
        <v>593</v>
      </c>
      <c r="B193" s="153" t="s">
        <v>594</v>
      </c>
      <c r="C193" s="310" t="s">
        <v>399</v>
      </c>
      <c r="D193" s="339">
        <v>12</v>
      </c>
      <c r="E193" s="338">
        <v>20</v>
      </c>
      <c r="F193" s="276">
        <f>D193*E193</f>
        <v>240</v>
      </c>
      <c r="G193" s="431">
        <f>F193*C4</f>
        <v>338.98305084745766</v>
      </c>
      <c r="H193" s="239"/>
      <c r="I193" s="239"/>
      <c r="J193" s="239"/>
      <c r="K193" s="239"/>
      <c r="L193" s="239"/>
      <c r="M193" s="239"/>
      <c r="N193" s="239"/>
      <c r="O193" s="239"/>
      <c r="P193" s="239"/>
      <c r="Q193" s="250"/>
      <c r="R193" s="261"/>
      <c r="S193" s="222">
        <f>R193-F193</f>
        <v>-240</v>
      </c>
      <c r="T193" s="228">
        <f>IF(F193=0,0,S193/F193)</f>
        <v>-1</v>
      </c>
      <c r="U193" s="222">
        <f t="shared" si="11"/>
        <v>0</v>
      </c>
      <c r="V193" s="222">
        <f t="shared" si="12"/>
        <v>-338.98305084745766</v>
      </c>
      <c r="W193" s="228">
        <f t="shared" si="13"/>
        <v>-1</v>
      </c>
      <c r="X193" s="228"/>
    </row>
    <row r="194" spans="1:24" x14ac:dyDescent="0.25">
      <c r="A194" s="81" t="s">
        <v>595</v>
      </c>
      <c r="B194" s="153" t="s">
        <v>596</v>
      </c>
      <c r="C194" s="310"/>
      <c r="D194" s="339"/>
      <c r="E194" s="432"/>
      <c r="F194" s="276">
        <f>D194*E194</f>
        <v>0</v>
      </c>
      <c r="G194" s="431">
        <f>F194*C3</f>
        <v>0</v>
      </c>
      <c r="H194" s="239"/>
      <c r="I194" s="239"/>
      <c r="J194" s="239"/>
      <c r="K194" s="239"/>
      <c r="L194" s="239"/>
      <c r="M194" s="239"/>
      <c r="N194" s="239"/>
      <c r="O194" s="239"/>
      <c r="P194" s="239"/>
      <c r="Q194" s="250"/>
      <c r="R194" s="261"/>
      <c r="S194" s="222">
        <f>R194-F194</f>
        <v>0</v>
      </c>
      <c r="T194" s="228">
        <f>IF(F194=0,0,S194/F194)</f>
        <v>0</v>
      </c>
      <c r="U194" s="222">
        <f>R194*$C$4</f>
        <v>0</v>
      </c>
      <c r="V194" s="222">
        <f>U194-G194</f>
        <v>0</v>
      </c>
      <c r="W194" s="228">
        <f>IF(G194=0,0,V194/G194)</f>
        <v>0</v>
      </c>
      <c r="X194" s="228"/>
    </row>
    <row r="195" spans="1:24" x14ac:dyDescent="0.25">
      <c r="C195" s="5"/>
      <c r="D195" s="5"/>
      <c r="E195" s="5"/>
      <c r="F195" s="172"/>
      <c r="G195" s="418"/>
      <c r="H195" s="239"/>
      <c r="I195" s="239"/>
      <c r="J195" s="239"/>
      <c r="K195" s="239"/>
      <c r="L195" s="239"/>
      <c r="M195" s="239"/>
      <c r="N195" s="239"/>
      <c r="O195" s="239"/>
      <c r="P195" s="239"/>
      <c r="Q195" s="250"/>
      <c r="R195" s="256"/>
      <c r="S195" s="222"/>
      <c r="T195" s="228"/>
      <c r="U195" s="222"/>
      <c r="V195" s="222"/>
      <c r="W195" s="228"/>
      <c r="X195" s="228"/>
    </row>
    <row r="196" spans="1:24" x14ac:dyDescent="0.25">
      <c r="A196" s="203"/>
      <c r="B196" s="204" t="s">
        <v>194</v>
      </c>
      <c r="C196" s="204"/>
      <c r="D196" s="204"/>
      <c r="E196" s="204"/>
      <c r="F196" s="205">
        <f>SUM(F184:F186)</f>
        <v>17400</v>
      </c>
      <c r="G196" s="433">
        <f>SUM(G184:G186)</f>
        <v>24576.271186440681</v>
      </c>
      <c r="H196" s="239"/>
      <c r="I196" s="239"/>
      <c r="J196" s="239"/>
      <c r="K196" s="239"/>
      <c r="L196" s="239"/>
      <c r="M196" s="239"/>
      <c r="N196" s="239"/>
      <c r="O196" s="239"/>
      <c r="P196" s="239"/>
      <c r="Q196" s="250"/>
      <c r="R196" s="256"/>
      <c r="S196" s="222">
        <f>R196-F196</f>
        <v>-17400</v>
      </c>
      <c r="T196" s="228">
        <f>IF(F196=0,0,S196/F196)</f>
        <v>-1</v>
      </c>
      <c r="U196" s="222">
        <f t="shared" si="11"/>
        <v>0</v>
      </c>
      <c r="V196" s="222">
        <f t="shared" si="12"/>
        <v>-24576.271186440681</v>
      </c>
      <c r="W196" s="228">
        <f t="shared" si="13"/>
        <v>-1</v>
      </c>
      <c r="X196" s="228"/>
    </row>
    <row r="197" spans="1:24" x14ac:dyDescent="0.25">
      <c r="A197" s="203"/>
      <c r="B197" s="204" t="s">
        <v>7</v>
      </c>
      <c r="C197" s="204"/>
      <c r="D197" s="204"/>
      <c r="E197" s="204"/>
      <c r="F197" s="205">
        <f>SUM(F187:F189)</f>
        <v>10612</v>
      </c>
      <c r="G197" s="433">
        <f>SUM(G187:G189)</f>
        <v>14988.700564971752</v>
      </c>
      <c r="H197" s="239"/>
      <c r="I197" s="239"/>
      <c r="J197" s="239"/>
      <c r="K197" s="239"/>
      <c r="L197" s="239"/>
      <c r="M197" s="239"/>
      <c r="N197" s="239"/>
      <c r="O197" s="239"/>
      <c r="P197" s="239"/>
      <c r="Q197" s="250"/>
      <c r="R197" s="256"/>
      <c r="S197" s="222">
        <f>R197-F197</f>
        <v>-10612</v>
      </c>
      <c r="T197" s="228">
        <f>IF(F197=0,0,S197/F197)</f>
        <v>-1</v>
      </c>
      <c r="U197" s="222">
        <f t="shared" si="11"/>
        <v>0</v>
      </c>
      <c r="V197" s="222">
        <f t="shared" si="12"/>
        <v>-14988.700564971752</v>
      </c>
      <c r="W197" s="228">
        <f t="shared" si="13"/>
        <v>-1</v>
      </c>
      <c r="X197" s="228"/>
    </row>
    <row r="198" spans="1:24" x14ac:dyDescent="0.25">
      <c r="A198" s="203"/>
      <c r="B198" s="204" t="s">
        <v>8</v>
      </c>
      <c r="C198" s="204"/>
      <c r="D198" s="204"/>
      <c r="E198" s="204"/>
      <c r="F198" s="205">
        <f>SUM(F190:F195)</f>
        <v>8129.4750000000004</v>
      </c>
      <c r="G198" s="433">
        <f>SUM(G190:G195)</f>
        <v>11482.309322033898</v>
      </c>
      <c r="H198" s="239"/>
      <c r="I198" s="239"/>
      <c r="J198" s="239"/>
      <c r="K198" s="239"/>
      <c r="L198" s="239"/>
      <c r="M198" s="239"/>
      <c r="N198" s="239"/>
      <c r="O198" s="239"/>
      <c r="P198" s="239"/>
      <c r="Q198" s="250"/>
      <c r="R198" s="256"/>
      <c r="S198" s="222">
        <f>R198-F198</f>
        <v>-8129.4750000000004</v>
      </c>
      <c r="T198" s="228">
        <f>IF(F198=0,0,S198/F198)</f>
        <v>-1</v>
      </c>
      <c r="U198" s="222">
        <f t="shared" si="11"/>
        <v>0</v>
      </c>
      <c r="V198" s="222">
        <f t="shared" si="12"/>
        <v>-11482.309322033898</v>
      </c>
      <c r="W198" s="228">
        <f t="shared" si="13"/>
        <v>-1</v>
      </c>
      <c r="X198" s="228"/>
    </row>
    <row r="199" spans="1:24" ht="13.8" thickBot="1" x14ac:dyDescent="0.3">
      <c r="A199" s="103"/>
      <c r="B199" s="150" t="s">
        <v>115</v>
      </c>
      <c r="C199" s="294"/>
      <c r="D199" s="293"/>
      <c r="E199" s="292"/>
      <c r="F199" s="316">
        <f>SUM(F184+F185+F187+F188+F190+F191+F192+F193)</f>
        <v>36141.474999999999</v>
      </c>
      <c r="G199" s="316">
        <f>SUM(G184+G185+G187+G188+G190+G191+G192+G193)</f>
        <v>51047.281073446335</v>
      </c>
      <c r="H199" s="286"/>
      <c r="I199" s="286"/>
      <c r="J199" s="286"/>
      <c r="K199" s="286"/>
      <c r="L199" s="286"/>
      <c r="M199" s="286"/>
      <c r="N199" s="286"/>
      <c r="O199" s="286"/>
      <c r="P199" s="286"/>
      <c r="Q199" s="312"/>
      <c r="R199" s="311"/>
      <c r="S199" s="234">
        <f>R199-F199</f>
        <v>-36141.474999999999</v>
      </c>
      <c r="T199" s="235">
        <f>IF(F199=0,0,S199/F199)</f>
        <v>-1</v>
      </c>
      <c r="U199" s="234">
        <f t="shared" si="11"/>
        <v>0</v>
      </c>
      <c r="V199" s="234">
        <f t="shared" si="12"/>
        <v>-51047.281073446335</v>
      </c>
      <c r="W199" s="235">
        <f t="shared" si="13"/>
        <v>-1</v>
      </c>
      <c r="X199" s="235"/>
    </row>
    <row r="200" spans="1:24" ht="13.8" thickTop="1" x14ac:dyDescent="0.25">
      <c r="A200" s="103"/>
      <c r="B200" s="150"/>
      <c r="C200" s="294"/>
      <c r="D200" s="293"/>
      <c r="E200" s="292"/>
      <c r="F200" s="315"/>
      <c r="G200" s="315"/>
      <c r="H200" s="286"/>
      <c r="I200" s="286"/>
      <c r="J200" s="286"/>
      <c r="K200" s="286"/>
      <c r="L200" s="286"/>
      <c r="M200" s="286"/>
      <c r="N200" s="286"/>
      <c r="O200" s="286"/>
      <c r="P200" s="286"/>
      <c r="Q200" s="312"/>
      <c r="R200" s="314"/>
      <c r="S200" s="222"/>
      <c r="T200" s="228"/>
      <c r="U200" s="222"/>
      <c r="V200" s="222"/>
      <c r="W200" s="228"/>
      <c r="X200" s="228"/>
    </row>
    <row r="201" spans="1:24" x14ac:dyDescent="0.25">
      <c r="A201" s="129">
        <v>5</v>
      </c>
      <c r="B201" s="130" t="s">
        <v>117</v>
      </c>
      <c r="C201" s="329"/>
      <c r="D201" s="328"/>
      <c r="E201" s="327"/>
      <c r="F201" s="327"/>
      <c r="G201" s="422"/>
      <c r="H201" s="238"/>
      <c r="I201" s="238"/>
      <c r="J201" s="238"/>
      <c r="K201" s="238"/>
      <c r="L201" s="238"/>
      <c r="M201" s="238"/>
      <c r="N201" s="238"/>
      <c r="O201" s="238"/>
      <c r="P201" s="238"/>
      <c r="Q201" s="251"/>
      <c r="R201" s="259"/>
      <c r="S201" s="227"/>
      <c r="T201" s="229"/>
      <c r="U201" s="227"/>
      <c r="V201" s="227"/>
      <c r="W201" s="229"/>
      <c r="X201" s="229"/>
    </row>
    <row r="202" spans="1:24" ht="52.8" x14ac:dyDescent="0.25">
      <c r="A202" s="81" t="s">
        <v>597</v>
      </c>
      <c r="B202" s="167" t="s">
        <v>11</v>
      </c>
      <c r="C202" s="434" t="s">
        <v>598</v>
      </c>
      <c r="D202" s="339">
        <v>1</v>
      </c>
      <c r="E202" s="338">
        <v>600</v>
      </c>
      <c r="F202" s="276">
        <f>D202*E202</f>
        <v>600</v>
      </c>
      <c r="G202" s="418">
        <f>F202*C4</f>
        <v>847.45762711864415</v>
      </c>
      <c r="H202" s="239"/>
      <c r="I202" s="239"/>
      <c r="J202" s="239"/>
      <c r="K202" s="239"/>
      <c r="L202" s="239"/>
      <c r="M202" s="239"/>
      <c r="N202" s="239"/>
      <c r="O202" s="239"/>
      <c r="P202" s="239"/>
      <c r="Q202" s="250"/>
      <c r="R202" s="261"/>
      <c r="S202" s="222">
        <f>R202-F202</f>
        <v>-600</v>
      </c>
      <c r="T202" s="228">
        <f>IF(F202=0,0,S202/F202)</f>
        <v>-1</v>
      </c>
      <c r="U202" s="222">
        <f t="shared" si="11"/>
        <v>0</v>
      </c>
      <c r="V202" s="222">
        <f t="shared" si="12"/>
        <v>-847.45762711864415</v>
      </c>
      <c r="W202" s="228">
        <f t="shared" si="13"/>
        <v>-1</v>
      </c>
      <c r="X202" s="228"/>
    </row>
    <row r="203" spans="1:24" x14ac:dyDescent="0.25">
      <c r="A203" s="81" t="s">
        <v>599</v>
      </c>
      <c r="B203" s="167" t="s">
        <v>12</v>
      </c>
      <c r="C203" s="310" t="s">
        <v>426</v>
      </c>
      <c r="D203" s="339">
        <v>1</v>
      </c>
      <c r="E203" s="338">
        <v>250</v>
      </c>
      <c r="F203" s="276">
        <f>D203*E203</f>
        <v>250</v>
      </c>
      <c r="G203" s="418">
        <f>F203*C4</f>
        <v>353.10734463276839</v>
      </c>
      <c r="H203" s="239"/>
      <c r="I203" s="239"/>
      <c r="J203" s="239"/>
      <c r="K203" s="239"/>
      <c r="L203" s="239"/>
      <c r="M203" s="239"/>
      <c r="N203" s="239"/>
      <c r="O203" s="239"/>
      <c r="P203" s="239"/>
      <c r="Q203" s="250"/>
      <c r="R203" s="261"/>
      <c r="S203" s="222">
        <f>R203-F203</f>
        <v>-250</v>
      </c>
      <c r="T203" s="228">
        <f>IF(F203=0,0,S203/F203)</f>
        <v>-1</v>
      </c>
      <c r="U203" s="222">
        <f t="shared" si="11"/>
        <v>0</v>
      </c>
      <c r="V203" s="222">
        <f t="shared" si="12"/>
        <v>-353.10734463276839</v>
      </c>
      <c r="W203" s="228">
        <f t="shared" si="13"/>
        <v>-1</v>
      </c>
      <c r="X203" s="228"/>
    </row>
    <row r="204" spans="1:24" x14ac:dyDescent="0.25">
      <c r="A204" s="81" t="s">
        <v>600</v>
      </c>
      <c r="B204" s="167" t="s">
        <v>13</v>
      </c>
      <c r="C204" s="310" t="s">
        <v>482</v>
      </c>
      <c r="D204" s="339">
        <v>1</v>
      </c>
      <c r="E204" s="338">
        <v>500</v>
      </c>
      <c r="F204" s="276">
        <f>D204*E204</f>
        <v>500</v>
      </c>
      <c r="G204" s="418">
        <f>F204*C4</f>
        <v>706.21468926553678</v>
      </c>
      <c r="H204" s="239"/>
      <c r="I204" s="239"/>
      <c r="J204" s="239"/>
      <c r="K204" s="239"/>
      <c r="L204" s="239"/>
      <c r="M204" s="239"/>
      <c r="N204" s="239"/>
      <c r="O204" s="239"/>
      <c r="P204" s="239"/>
      <c r="Q204" s="250"/>
      <c r="R204" s="261"/>
      <c r="S204" s="222">
        <f>R204-F204</f>
        <v>-500</v>
      </c>
      <c r="T204" s="228">
        <f>IF(F204=0,0,S204/F204)</f>
        <v>-1</v>
      </c>
      <c r="U204" s="222">
        <f t="shared" si="11"/>
        <v>0</v>
      </c>
      <c r="V204" s="222">
        <f t="shared" si="12"/>
        <v>-706.21468926553678</v>
      </c>
      <c r="W204" s="228">
        <f t="shared" si="13"/>
        <v>-1</v>
      </c>
      <c r="X204" s="228"/>
    </row>
    <row r="205" spans="1:24" x14ac:dyDescent="0.25">
      <c r="A205" s="81" t="s">
        <v>601</v>
      </c>
      <c r="B205" s="167" t="s">
        <v>14</v>
      </c>
      <c r="C205" s="817" t="s">
        <v>482</v>
      </c>
      <c r="D205" s="339">
        <v>1</v>
      </c>
      <c r="E205" s="338">
        <v>12250</v>
      </c>
      <c r="F205" s="276">
        <f>D205*E205</f>
        <v>12250</v>
      </c>
      <c r="G205" s="418">
        <f>F205*C4</f>
        <v>17302.25988700565</v>
      </c>
      <c r="H205" s="239"/>
      <c r="I205" s="239"/>
      <c r="J205" s="239"/>
      <c r="K205" s="239"/>
      <c r="L205" s="239"/>
      <c r="M205" s="239"/>
      <c r="N205" s="239"/>
      <c r="O205" s="239"/>
      <c r="P205" s="239"/>
      <c r="Q205" s="250"/>
      <c r="R205" s="261"/>
      <c r="S205" s="222">
        <f>R205-F205</f>
        <v>-12250</v>
      </c>
      <c r="T205" s="228">
        <f>IF(F205=0,0,S205/F205)</f>
        <v>-1</v>
      </c>
      <c r="U205" s="222">
        <f t="shared" si="11"/>
        <v>0</v>
      </c>
      <c r="V205" s="222">
        <f t="shared" si="12"/>
        <v>-17302.25988700565</v>
      </c>
      <c r="W205" s="228">
        <f t="shared" si="13"/>
        <v>-1</v>
      </c>
      <c r="X205" s="228"/>
    </row>
    <row r="206" spans="1:24" ht="39.6" x14ac:dyDescent="0.25">
      <c r="A206" s="81" t="s">
        <v>602</v>
      </c>
      <c r="B206" s="167" t="s">
        <v>60</v>
      </c>
      <c r="C206" s="434" t="s">
        <v>603</v>
      </c>
      <c r="D206" s="339">
        <v>1</v>
      </c>
      <c r="E206" s="338">
        <v>750</v>
      </c>
      <c r="F206" s="276">
        <f>D206*E206</f>
        <v>750</v>
      </c>
      <c r="G206" s="418">
        <f>F206*C4</f>
        <v>1059.3220338983051</v>
      </c>
      <c r="H206" s="239"/>
      <c r="I206" s="239"/>
      <c r="J206" s="239"/>
      <c r="K206" s="239"/>
      <c r="L206" s="239"/>
      <c r="M206" s="239"/>
      <c r="N206" s="239"/>
      <c r="O206" s="239"/>
      <c r="P206" s="239"/>
      <c r="Q206" s="250"/>
      <c r="R206" s="261"/>
      <c r="S206" s="222">
        <f>R206-F206</f>
        <v>-750</v>
      </c>
      <c r="T206" s="228">
        <f>IF(F206=0,0,S206/F206)</f>
        <v>-1</v>
      </c>
      <c r="U206" s="222">
        <f t="shared" si="11"/>
        <v>0</v>
      </c>
      <c r="V206" s="222">
        <f t="shared" si="12"/>
        <v>-1059.3220338983051</v>
      </c>
      <c r="W206" s="228">
        <f t="shared" si="13"/>
        <v>-1</v>
      </c>
      <c r="X206" s="228"/>
    </row>
    <row r="207" spans="1:24" x14ac:dyDescent="0.25">
      <c r="B207" s="167"/>
      <c r="C207" s="306"/>
      <c r="D207" s="305"/>
      <c r="E207" s="304"/>
      <c r="F207" s="276"/>
      <c r="G207" s="418"/>
      <c r="H207" s="239"/>
      <c r="I207" s="239"/>
      <c r="J207" s="239"/>
      <c r="K207" s="239"/>
      <c r="L207" s="239"/>
      <c r="M207" s="239"/>
      <c r="N207" s="239"/>
      <c r="O207" s="239"/>
      <c r="P207" s="239"/>
      <c r="Q207" s="250"/>
      <c r="R207" s="256"/>
      <c r="S207" s="222"/>
      <c r="T207" s="228"/>
      <c r="U207" s="222"/>
      <c r="V207" s="222"/>
      <c r="W207" s="228"/>
      <c r="X207" s="228"/>
    </row>
    <row r="208" spans="1:24" ht="13.8" thickBot="1" x14ac:dyDescent="0.3">
      <c r="A208" s="103"/>
      <c r="B208" s="150" t="s">
        <v>118</v>
      </c>
      <c r="C208" s="294"/>
      <c r="D208" s="293"/>
      <c r="E208" s="292"/>
      <c r="F208" s="316">
        <f>SUM(F202:F206)</f>
        <v>14350</v>
      </c>
      <c r="G208" s="316">
        <f>SUM(G202:G206)</f>
        <v>20268.361581920904</v>
      </c>
      <c r="H208" s="286"/>
      <c r="I208" s="286"/>
      <c r="J208" s="286"/>
      <c r="K208" s="286"/>
      <c r="L208" s="286"/>
      <c r="M208" s="286"/>
      <c r="N208" s="286"/>
      <c r="O208" s="286"/>
      <c r="P208" s="286"/>
      <c r="Q208" s="312"/>
      <c r="R208" s="311"/>
      <c r="S208" s="234">
        <f>R208-F208</f>
        <v>-14350</v>
      </c>
      <c r="T208" s="235">
        <f>IF(F208=0,0,S208/F208)</f>
        <v>-1</v>
      </c>
      <c r="U208" s="234">
        <f t="shared" si="11"/>
        <v>0</v>
      </c>
      <c r="V208" s="234">
        <f t="shared" si="12"/>
        <v>-20268.361581920904</v>
      </c>
      <c r="W208" s="235">
        <f t="shared" si="13"/>
        <v>-1</v>
      </c>
      <c r="X208" s="235"/>
    </row>
    <row r="209" spans="1:25" ht="13.8" thickTop="1" x14ac:dyDescent="0.25">
      <c r="B209" s="167"/>
      <c r="F209" s="276"/>
      <c r="G209" s="418"/>
      <c r="H209" s="239"/>
      <c r="I209" s="239"/>
      <c r="J209" s="239"/>
      <c r="K209" s="239"/>
      <c r="L209" s="239"/>
      <c r="M209" s="239"/>
      <c r="N209" s="239"/>
      <c r="O209" s="239"/>
      <c r="P209" s="239"/>
      <c r="Q209" s="250"/>
      <c r="R209" s="256"/>
      <c r="S209" s="222"/>
      <c r="T209" s="228"/>
      <c r="U209" s="222"/>
      <c r="V209" s="222"/>
      <c r="W209" s="228"/>
      <c r="X209" s="228"/>
    </row>
    <row r="210" spans="1:25" x14ac:dyDescent="0.25">
      <c r="A210" s="129">
        <v>6</v>
      </c>
      <c r="B210" s="130" t="s">
        <v>119</v>
      </c>
      <c r="C210" s="329"/>
      <c r="D210" s="328"/>
      <c r="E210" s="327"/>
      <c r="F210" s="327"/>
      <c r="G210" s="422"/>
      <c r="H210" s="238"/>
      <c r="I210" s="238"/>
      <c r="J210" s="238"/>
      <c r="K210" s="238"/>
      <c r="L210" s="238"/>
      <c r="M210" s="238"/>
      <c r="N210" s="238"/>
      <c r="O210" s="238"/>
      <c r="P210" s="238"/>
      <c r="Q210" s="251"/>
      <c r="R210" s="259"/>
      <c r="S210" s="227"/>
      <c r="T210" s="229"/>
      <c r="U210" s="227"/>
      <c r="V210" s="227"/>
      <c r="W210" s="229"/>
      <c r="X210" s="229"/>
    </row>
    <row r="211" spans="1:25" x14ac:dyDescent="0.25">
      <c r="A211" s="103" t="s">
        <v>120</v>
      </c>
      <c r="B211" s="103" t="s">
        <v>77</v>
      </c>
      <c r="C211" s="326"/>
      <c r="D211" s="325"/>
      <c r="E211" s="324"/>
      <c r="F211" s="320"/>
      <c r="G211" s="435"/>
      <c r="H211" s="239"/>
      <c r="I211" s="239"/>
      <c r="J211" s="239"/>
      <c r="K211" s="239"/>
      <c r="L211" s="239"/>
      <c r="M211" s="239"/>
      <c r="N211" s="239"/>
      <c r="O211" s="239"/>
      <c r="P211" s="239"/>
      <c r="Q211" s="250"/>
      <c r="R211" s="255"/>
      <c r="S211" s="222"/>
      <c r="T211" s="228"/>
      <c r="U211" s="222"/>
      <c r="V211" s="222"/>
      <c r="W211" s="228"/>
      <c r="X211" s="228"/>
    </row>
    <row r="212" spans="1:25" x14ac:dyDescent="0.25">
      <c r="A212" s="113" t="s">
        <v>121</v>
      </c>
      <c r="B212" s="174" t="s">
        <v>78</v>
      </c>
      <c r="C212" s="310"/>
      <c r="D212" s="339"/>
      <c r="E212" s="338"/>
      <c r="F212" s="320">
        <f>D212*E212</f>
        <v>0</v>
      </c>
      <c r="G212" s="435">
        <f>F212*C4</f>
        <v>0</v>
      </c>
      <c r="H212" s="239"/>
      <c r="I212" s="239"/>
      <c r="J212" s="239"/>
      <c r="K212" s="239"/>
      <c r="L212" s="239"/>
      <c r="M212" s="239"/>
      <c r="N212" s="239"/>
      <c r="O212" s="239"/>
      <c r="P212" s="239"/>
      <c r="Q212" s="250"/>
      <c r="R212" s="261"/>
      <c r="S212" s="222">
        <f>R212-F212</f>
        <v>0</v>
      </c>
      <c r="T212" s="228">
        <f>IF(F212=0,0,S212/F212)</f>
        <v>0</v>
      </c>
      <c r="U212" s="222">
        <f t="shared" si="11"/>
        <v>0</v>
      </c>
      <c r="V212" s="222">
        <f t="shared" si="12"/>
        <v>0</v>
      </c>
      <c r="W212" s="228">
        <f t="shared" si="13"/>
        <v>0</v>
      </c>
      <c r="X212" s="228"/>
    </row>
    <row r="213" spans="1:25" x14ac:dyDescent="0.25">
      <c r="A213" s="113" t="s">
        <v>122</v>
      </c>
      <c r="B213" s="174" t="s">
        <v>79</v>
      </c>
      <c r="C213" s="310"/>
      <c r="D213" s="339"/>
      <c r="E213" s="338"/>
      <c r="F213" s="320">
        <f>D213*E213</f>
        <v>0</v>
      </c>
      <c r="G213" s="435">
        <f>F213*C4</f>
        <v>0</v>
      </c>
      <c r="H213" s="239"/>
      <c r="I213" s="239"/>
      <c r="J213" s="239"/>
      <c r="K213" s="239"/>
      <c r="L213" s="239"/>
      <c r="M213" s="239"/>
      <c r="N213" s="239"/>
      <c r="O213" s="239"/>
      <c r="P213" s="239"/>
      <c r="Q213" s="250"/>
      <c r="R213" s="261"/>
      <c r="S213" s="222">
        <f>R213-F213</f>
        <v>0</v>
      </c>
      <c r="T213" s="228">
        <f>IF(F213=0,0,S213/F213)</f>
        <v>0</v>
      </c>
      <c r="U213" s="222">
        <f t="shared" si="11"/>
        <v>0</v>
      </c>
      <c r="V213" s="222">
        <f t="shared" si="12"/>
        <v>0</v>
      </c>
      <c r="W213" s="228">
        <f t="shared" si="13"/>
        <v>0</v>
      </c>
      <c r="X213" s="228"/>
    </row>
    <row r="214" spans="1:25" x14ac:dyDescent="0.25">
      <c r="A214" s="113" t="s">
        <v>123</v>
      </c>
      <c r="B214" s="174" t="s">
        <v>80</v>
      </c>
      <c r="C214" s="310"/>
      <c r="D214" s="339"/>
      <c r="E214" s="338"/>
      <c r="F214" s="320">
        <f>D214*E214</f>
        <v>0</v>
      </c>
      <c r="G214" s="435">
        <f>F214*C4</f>
        <v>0</v>
      </c>
      <c r="H214" s="239"/>
      <c r="I214" s="239"/>
      <c r="J214" s="239"/>
      <c r="K214" s="239"/>
      <c r="L214" s="239"/>
      <c r="M214" s="239"/>
      <c r="N214" s="239"/>
      <c r="O214" s="239"/>
      <c r="P214" s="239"/>
      <c r="Q214" s="250"/>
      <c r="R214" s="261"/>
      <c r="S214" s="222">
        <f>R214-F214</f>
        <v>0</v>
      </c>
      <c r="T214" s="228">
        <f>IF(F214=0,0,S214/F214)</f>
        <v>0</v>
      </c>
      <c r="U214" s="222">
        <f>R214*$C$4</f>
        <v>0</v>
      </c>
      <c r="V214" s="222">
        <f>U214-G214</f>
        <v>0</v>
      </c>
      <c r="W214" s="228">
        <f>IF(G214=0,0,V214/G214)</f>
        <v>0</v>
      </c>
      <c r="X214" s="228"/>
    </row>
    <row r="215" spans="1:25" ht="26.4" x14ac:dyDescent="0.25">
      <c r="A215" s="113" t="s">
        <v>124</v>
      </c>
      <c r="B215" s="174" t="s">
        <v>604</v>
      </c>
      <c r="C215" s="310" t="s">
        <v>482</v>
      </c>
      <c r="D215" s="339">
        <v>1</v>
      </c>
      <c r="E215" s="338">
        <f>2000*0.5</f>
        <v>1000</v>
      </c>
      <c r="F215" s="320">
        <f>D215*E215</f>
        <v>1000</v>
      </c>
      <c r="G215" s="435">
        <f>F215*C4</f>
        <v>1412.4293785310736</v>
      </c>
      <c r="H215" s="239"/>
      <c r="I215" s="239"/>
      <c r="J215" s="239"/>
      <c r="K215" s="239"/>
      <c r="L215" s="239"/>
      <c r="M215" s="239"/>
      <c r="N215" s="239"/>
      <c r="O215" s="239"/>
      <c r="P215" s="239"/>
      <c r="Q215" s="250"/>
      <c r="R215" s="261"/>
      <c r="S215" s="222">
        <f>R215-F215</f>
        <v>-1000</v>
      </c>
      <c r="T215" s="228">
        <f>IF(F215=0,0,S215/F215)</f>
        <v>-1</v>
      </c>
      <c r="U215" s="222">
        <f>R215*$C$4</f>
        <v>0</v>
      </c>
      <c r="V215" s="222">
        <f>U215-G215</f>
        <v>-1412.4293785310736</v>
      </c>
      <c r="W215" s="228">
        <f>IF(G215=0,0,V215/G215)</f>
        <v>-1</v>
      </c>
      <c r="X215" s="228"/>
    </row>
    <row r="216" spans="1:25" x14ac:dyDescent="0.25">
      <c r="A216" s="103"/>
      <c r="B216" s="174"/>
      <c r="C216" s="368"/>
      <c r="D216" s="367"/>
      <c r="E216" s="366"/>
      <c r="F216" s="320"/>
      <c r="G216" s="435"/>
      <c r="H216" s="239"/>
      <c r="I216" s="239"/>
      <c r="J216" s="239"/>
      <c r="K216" s="239"/>
      <c r="L216" s="239"/>
      <c r="M216" s="239"/>
      <c r="N216" s="239"/>
      <c r="O216" s="239"/>
      <c r="P216" s="239"/>
      <c r="Q216" s="250"/>
      <c r="R216" s="255"/>
      <c r="S216" s="222"/>
      <c r="T216" s="228"/>
      <c r="U216" s="222"/>
      <c r="V216" s="222"/>
      <c r="W216" s="228"/>
      <c r="X216" s="228"/>
    </row>
    <row r="217" spans="1:25" ht="13.8" thickBot="1" x14ac:dyDescent="0.3">
      <c r="A217" s="103"/>
      <c r="B217" s="150" t="s">
        <v>82</v>
      </c>
      <c r="C217" s="326"/>
      <c r="D217" s="325"/>
      <c r="E217" s="324"/>
      <c r="F217" s="316">
        <f>SUM(F212:F215)</f>
        <v>1000</v>
      </c>
      <c r="G217" s="316">
        <f>SUM(G212:G215)</f>
        <v>1412.4293785310736</v>
      </c>
      <c r="H217" s="286"/>
      <c r="I217" s="286"/>
      <c r="J217" s="286"/>
      <c r="K217" s="286"/>
      <c r="L217" s="286"/>
      <c r="M217" s="286"/>
      <c r="N217" s="286"/>
      <c r="O217" s="286"/>
      <c r="P217" s="286"/>
      <c r="Q217" s="312"/>
      <c r="R217" s="311"/>
      <c r="S217" s="234">
        <f>R217-F217</f>
        <v>-1000</v>
      </c>
      <c r="T217" s="235">
        <f>IF(F217=0,0,S217/F217)</f>
        <v>-1</v>
      </c>
      <c r="U217" s="234">
        <f>R217*$C$4</f>
        <v>0</v>
      </c>
      <c r="V217" s="234">
        <f>U217-G217</f>
        <v>-1412.4293785310736</v>
      </c>
      <c r="W217" s="235">
        <f>IF(G217=0,0,V217/G217)</f>
        <v>-1</v>
      </c>
      <c r="X217" s="235"/>
    </row>
    <row r="218" spans="1:25" ht="13.8" thickTop="1" x14ac:dyDescent="0.25">
      <c r="B218" s="178"/>
      <c r="F218" s="285"/>
      <c r="G218" s="418"/>
      <c r="H218" s="239"/>
      <c r="I218" s="239"/>
      <c r="J218" s="239"/>
      <c r="K218" s="239"/>
      <c r="L218" s="239"/>
      <c r="M218" s="239"/>
      <c r="N218" s="239"/>
      <c r="O218" s="239"/>
      <c r="P218" s="239"/>
      <c r="Q218" s="250"/>
      <c r="R218" s="256"/>
      <c r="S218" s="222"/>
      <c r="T218" s="228"/>
      <c r="U218" s="222"/>
      <c r="V218" s="222"/>
      <c r="W218" s="228"/>
      <c r="X218" s="228"/>
    </row>
    <row r="219" spans="1:25" x14ac:dyDescent="0.25">
      <c r="A219" s="103" t="s">
        <v>125</v>
      </c>
      <c r="B219" s="103" t="s">
        <v>198</v>
      </c>
      <c r="C219" s="326"/>
      <c r="D219" s="325"/>
      <c r="E219" s="324"/>
      <c r="F219" s="320"/>
      <c r="G219" s="435"/>
      <c r="H219" s="239"/>
      <c r="I219" s="239"/>
      <c r="J219" s="239"/>
      <c r="K219" s="239"/>
      <c r="L219" s="239"/>
      <c r="M219" s="239"/>
      <c r="N219" s="239"/>
      <c r="O219" s="239"/>
      <c r="P219" s="239"/>
      <c r="Q219" s="250"/>
      <c r="R219" s="255"/>
      <c r="S219" s="222"/>
      <c r="T219" s="228"/>
      <c r="U219" s="222"/>
      <c r="V219" s="222"/>
      <c r="W219" s="228"/>
      <c r="X219" s="228"/>
    </row>
    <row r="220" spans="1:25" x14ac:dyDescent="0.25">
      <c r="A220" s="113" t="s">
        <v>126</v>
      </c>
      <c r="B220" s="174" t="s">
        <v>135</v>
      </c>
      <c r="C220" s="310"/>
      <c r="D220" s="339"/>
      <c r="E220" s="338"/>
      <c r="F220" s="320">
        <f t="shared" ref="F220:F223" si="17">D220*E220</f>
        <v>0</v>
      </c>
      <c r="G220" s="435">
        <f>F220*C4</f>
        <v>0</v>
      </c>
      <c r="H220" s="239"/>
      <c r="I220" s="239"/>
      <c r="J220" s="239"/>
      <c r="K220" s="239"/>
      <c r="L220" s="239"/>
      <c r="M220" s="239"/>
      <c r="N220" s="239"/>
      <c r="O220" s="239"/>
      <c r="P220" s="239"/>
      <c r="Q220" s="250"/>
      <c r="R220" s="261"/>
      <c r="S220" s="222">
        <f t="shared" ref="S220:S224" si="18">R220-F220</f>
        <v>0</v>
      </c>
      <c r="T220" s="228">
        <f t="shared" ref="T220:T224" si="19">IF(F220=0,0,S220/F220)</f>
        <v>0</v>
      </c>
      <c r="U220" s="222">
        <f t="shared" ref="U220:U224" si="20">R220*$C$4</f>
        <v>0</v>
      </c>
      <c r="V220" s="222">
        <f t="shared" ref="V220:V224" si="21">U220-G220</f>
        <v>0</v>
      </c>
      <c r="W220" s="228">
        <f t="shared" ref="W220:W224" si="22">IF(G220=0,0,V220/G220)</f>
        <v>0</v>
      </c>
      <c r="X220" s="228"/>
    </row>
    <row r="221" spans="1:25" x14ac:dyDescent="0.25">
      <c r="A221" s="113" t="s">
        <v>127</v>
      </c>
      <c r="B221" s="174" t="s">
        <v>136</v>
      </c>
      <c r="C221" s="817" t="s">
        <v>607</v>
      </c>
      <c r="D221" s="339">
        <v>1</v>
      </c>
      <c r="E221" s="338">
        <v>0</v>
      </c>
      <c r="F221" s="320">
        <f t="shared" si="17"/>
        <v>0</v>
      </c>
      <c r="G221" s="435">
        <f>F221*C4</f>
        <v>0</v>
      </c>
      <c r="H221" s="239"/>
      <c r="I221" s="239"/>
      <c r="J221" s="239"/>
      <c r="K221" s="239"/>
      <c r="L221" s="239"/>
      <c r="M221" s="239"/>
      <c r="N221" s="239"/>
      <c r="O221" s="239"/>
      <c r="P221" s="239"/>
      <c r="Q221" s="250"/>
      <c r="R221" s="261"/>
      <c r="S221" s="222">
        <f t="shared" si="18"/>
        <v>0</v>
      </c>
      <c r="T221" s="228">
        <f t="shared" si="19"/>
        <v>0</v>
      </c>
      <c r="U221" s="222">
        <f t="shared" si="20"/>
        <v>0</v>
      </c>
      <c r="V221" s="222">
        <f t="shared" si="21"/>
        <v>0</v>
      </c>
      <c r="W221" s="228">
        <f t="shared" si="22"/>
        <v>0</v>
      </c>
      <c r="X221" s="228"/>
    </row>
    <row r="222" spans="1:25" x14ac:dyDescent="0.25">
      <c r="A222" s="113" t="s">
        <v>128</v>
      </c>
      <c r="B222" s="174" t="s">
        <v>134</v>
      </c>
      <c r="C222" s="310" t="s">
        <v>399</v>
      </c>
      <c r="D222" s="339">
        <v>12</v>
      </c>
      <c r="E222" s="338">
        <v>100</v>
      </c>
      <c r="F222" s="320">
        <f>D222*E222</f>
        <v>1200</v>
      </c>
      <c r="G222" s="435">
        <f>F222*C4</f>
        <v>1694.9152542372883</v>
      </c>
      <c r="H222" s="239"/>
      <c r="I222" s="239"/>
      <c r="J222" s="239"/>
      <c r="K222" s="239"/>
      <c r="L222" s="239"/>
      <c r="M222" s="239"/>
      <c r="N222" s="239"/>
      <c r="O222" s="239"/>
      <c r="P222" s="239"/>
      <c r="Q222" s="250"/>
      <c r="R222" s="261"/>
      <c r="S222" s="222">
        <f t="shared" si="18"/>
        <v>-1200</v>
      </c>
      <c r="T222" s="228">
        <f t="shared" si="19"/>
        <v>-1</v>
      </c>
      <c r="U222" s="222">
        <f t="shared" si="20"/>
        <v>0</v>
      </c>
      <c r="V222" s="222">
        <f t="shared" si="21"/>
        <v>-1694.9152542372883</v>
      </c>
      <c r="W222" s="228">
        <f t="shared" si="22"/>
        <v>-1</v>
      </c>
      <c r="X222" s="228"/>
    </row>
    <row r="223" spans="1:25" x14ac:dyDescent="0.25">
      <c r="A223" s="113" t="s">
        <v>129</v>
      </c>
      <c r="B223" s="174" t="s">
        <v>137</v>
      </c>
      <c r="C223" s="310" t="s">
        <v>580</v>
      </c>
      <c r="D223" s="339">
        <v>1</v>
      </c>
      <c r="E223" s="338">
        <f>5000*0.708</f>
        <v>3540</v>
      </c>
      <c r="F223" s="320">
        <f t="shared" si="17"/>
        <v>3540</v>
      </c>
      <c r="G223" s="435">
        <f>F223*C4</f>
        <v>5000</v>
      </c>
      <c r="H223" s="239"/>
      <c r="I223" s="239"/>
      <c r="J223" s="239"/>
      <c r="K223" s="239"/>
      <c r="L223" s="239"/>
      <c r="M223" s="239"/>
      <c r="N223" s="239"/>
      <c r="O223" s="239"/>
      <c r="P223" s="239"/>
      <c r="Q223" s="250"/>
      <c r="R223" s="261"/>
      <c r="S223" s="222">
        <f t="shared" si="18"/>
        <v>-3540</v>
      </c>
      <c r="T223" s="228">
        <f t="shared" si="19"/>
        <v>-1</v>
      </c>
      <c r="U223" s="222">
        <f t="shared" si="20"/>
        <v>0</v>
      </c>
      <c r="V223" s="222">
        <f t="shared" si="21"/>
        <v>-5000</v>
      </c>
      <c r="W223" s="228">
        <f t="shared" si="22"/>
        <v>-1</v>
      </c>
      <c r="X223" s="228"/>
      <c r="Y223" s="823" t="s">
        <v>928</v>
      </c>
    </row>
    <row r="224" spans="1:25" x14ac:dyDescent="0.25">
      <c r="A224" s="113" t="s">
        <v>605</v>
      </c>
      <c r="B224" s="174" t="s">
        <v>606</v>
      </c>
      <c r="C224" s="310" t="s">
        <v>607</v>
      </c>
      <c r="D224" s="339">
        <v>1</v>
      </c>
      <c r="E224" s="338">
        <v>1000</v>
      </c>
      <c r="F224" s="320">
        <f>D224*E224</f>
        <v>1000</v>
      </c>
      <c r="G224" s="435">
        <f>F224*C4</f>
        <v>1412.4293785310736</v>
      </c>
      <c r="H224" s="239"/>
      <c r="I224" s="239"/>
      <c r="J224" s="239"/>
      <c r="K224" s="239"/>
      <c r="L224" s="239"/>
      <c r="M224" s="239"/>
      <c r="N224" s="239"/>
      <c r="O224" s="239"/>
      <c r="P224" s="239"/>
      <c r="Q224" s="250"/>
      <c r="R224" s="261"/>
      <c r="S224" s="222">
        <f t="shared" si="18"/>
        <v>-1000</v>
      </c>
      <c r="T224" s="228">
        <f t="shared" si="19"/>
        <v>-1</v>
      </c>
      <c r="U224" s="222">
        <f t="shared" si="20"/>
        <v>0</v>
      </c>
      <c r="V224" s="222">
        <f t="shared" si="21"/>
        <v>-1412.4293785310736</v>
      </c>
      <c r="W224" s="228">
        <f t="shared" si="22"/>
        <v>-1</v>
      </c>
      <c r="X224" s="228"/>
      <c r="Y224" s="825" t="s">
        <v>927</v>
      </c>
    </row>
    <row r="225" spans="1:24" x14ac:dyDescent="0.25">
      <c r="A225" s="103"/>
      <c r="B225" s="174"/>
      <c r="C225" s="368"/>
      <c r="D225" s="367"/>
      <c r="E225" s="366"/>
      <c r="F225" s="320"/>
      <c r="G225" s="435"/>
      <c r="H225" s="239"/>
      <c r="I225" s="239"/>
      <c r="J225" s="239"/>
      <c r="K225" s="239"/>
      <c r="L225" s="239"/>
      <c r="M225" s="239"/>
      <c r="N225" s="239"/>
      <c r="O225" s="239"/>
      <c r="P225" s="239"/>
      <c r="Q225" s="250"/>
      <c r="R225" s="255"/>
      <c r="S225" s="222"/>
      <c r="T225" s="228"/>
      <c r="U225" s="222"/>
      <c r="V225" s="222"/>
      <c r="W225" s="228"/>
      <c r="X225" s="228"/>
    </row>
    <row r="226" spans="1:24" ht="13.8" thickBot="1" x14ac:dyDescent="0.3">
      <c r="A226" s="103"/>
      <c r="B226" s="150" t="s">
        <v>199</v>
      </c>
      <c r="C226" s="326"/>
      <c r="D226" s="325"/>
      <c r="E226" s="324"/>
      <c r="F226" s="316">
        <f>SUM(F220:F224)</f>
        <v>5740</v>
      </c>
      <c r="G226" s="316">
        <f>SUM(G220:G224)</f>
        <v>8107.3446327683623</v>
      </c>
      <c r="H226" s="286"/>
      <c r="I226" s="286"/>
      <c r="J226" s="286"/>
      <c r="K226" s="286"/>
      <c r="L226" s="286"/>
      <c r="M226" s="286"/>
      <c r="N226" s="286"/>
      <c r="O226" s="286"/>
      <c r="P226" s="286"/>
      <c r="Q226" s="312"/>
      <c r="R226" s="311"/>
      <c r="S226" s="234">
        <f>R226-F226</f>
        <v>-5740</v>
      </c>
      <c r="T226" s="235">
        <f>IF(F226=0,0,S226/F226)</f>
        <v>-1</v>
      </c>
      <c r="U226" s="234">
        <f>R226*$C$4</f>
        <v>0</v>
      </c>
      <c r="V226" s="234">
        <f>U226-G226</f>
        <v>-8107.3446327683623</v>
      </c>
      <c r="W226" s="235">
        <f>IF(G226=0,0,V226/G226)</f>
        <v>-1</v>
      </c>
      <c r="X226" s="235"/>
    </row>
    <row r="227" spans="1:24" ht="13.8" thickTop="1" x14ac:dyDescent="0.25">
      <c r="B227" s="178"/>
      <c r="F227" s="285"/>
      <c r="G227" s="418"/>
      <c r="H227" s="239"/>
      <c r="I227" s="239"/>
      <c r="J227" s="239"/>
      <c r="K227" s="239"/>
      <c r="L227" s="239"/>
      <c r="M227" s="239"/>
      <c r="N227" s="239"/>
      <c r="O227" s="239"/>
      <c r="P227" s="239"/>
      <c r="Q227" s="250"/>
      <c r="R227" s="256"/>
      <c r="S227" s="222"/>
      <c r="T227" s="228"/>
      <c r="U227" s="222"/>
      <c r="V227" s="222"/>
      <c r="W227" s="228"/>
      <c r="X227" s="228"/>
    </row>
    <row r="228" spans="1:24" x14ac:dyDescent="0.25">
      <c r="A228" s="103" t="s">
        <v>163</v>
      </c>
      <c r="B228" s="103" t="s">
        <v>162</v>
      </c>
      <c r="C228" s="326"/>
      <c r="D228" s="325"/>
      <c r="E228" s="324"/>
      <c r="F228" s="320"/>
      <c r="G228" s="435"/>
      <c r="H228" s="239"/>
      <c r="I228" s="239"/>
      <c r="J228" s="239"/>
      <c r="K228" s="239"/>
      <c r="L228" s="239"/>
      <c r="M228" s="239"/>
      <c r="N228" s="239"/>
      <c r="O228" s="239"/>
      <c r="P228" s="239"/>
      <c r="Q228" s="250"/>
      <c r="R228" s="255"/>
      <c r="S228" s="222"/>
      <c r="T228" s="228"/>
      <c r="U228" s="222"/>
      <c r="V228" s="222"/>
      <c r="W228" s="228"/>
      <c r="X228" s="228"/>
    </row>
    <row r="229" spans="1:24" x14ac:dyDescent="0.25">
      <c r="A229" s="113" t="s">
        <v>168</v>
      </c>
      <c r="B229" s="174" t="s">
        <v>307</v>
      </c>
      <c r="C229" s="310"/>
      <c r="D229" s="339"/>
      <c r="E229" s="338"/>
      <c r="F229" s="320">
        <f>D229*E229</f>
        <v>0</v>
      </c>
      <c r="G229" s="435">
        <f>F229*C4</f>
        <v>0</v>
      </c>
      <c r="H229" s="239"/>
      <c r="I229" s="239"/>
      <c r="J229" s="239"/>
      <c r="K229" s="239"/>
      <c r="L229" s="239"/>
      <c r="M229" s="239"/>
      <c r="N229" s="239"/>
      <c r="O229" s="239"/>
      <c r="P229" s="239"/>
      <c r="Q229" s="250"/>
      <c r="R229" s="261"/>
      <c r="S229" s="222">
        <f>R229-F229</f>
        <v>0</v>
      </c>
      <c r="T229" s="228">
        <f>IF(F229=0,0,S229/F229)</f>
        <v>0</v>
      </c>
      <c r="U229" s="222">
        <f>R229*$C$4</f>
        <v>0</v>
      </c>
      <c r="V229" s="222">
        <f>U229-G229</f>
        <v>0</v>
      </c>
      <c r="W229" s="228">
        <f>IF(G229=0,0,V229/G229)</f>
        <v>0</v>
      </c>
      <c r="X229" s="228"/>
    </row>
    <row r="230" spans="1:24" x14ac:dyDescent="0.25">
      <c r="A230" s="113" t="s">
        <v>169</v>
      </c>
      <c r="B230" s="174" t="s">
        <v>165</v>
      </c>
      <c r="C230" s="310"/>
      <c r="D230" s="339"/>
      <c r="E230" s="338"/>
      <c r="F230" s="320">
        <f>D230*E230</f>
        <v>0</v>
      </c>
      <c r="G230" s="435">
        <f>F230*C4</f>
        <v>0</v>
      </c>
      <c r="H230" s="239"/>
      <c r="I230" s="239"/>
      <c r="J230" s="239"/>
      <c r="K230" s="239"/>
      <c r="L230" s="239"/>
      <c r="M230" s="239"/>
      <c r="N230" s="239"/>
      <c r="O230" s="239"/>
      <c r="P230" s="239"/>
      <c r="Q230" s="250"/>
      <c r="R230" s="261"/>
      <c r="S230" s="222">
        <f>R230-F230</f>
        <v>0</v>
      </c>
      <c r="T230" s="228">
        <f>IF(F230=0,0,S230/F230)</f>
        <v>0</v>
      </c>
      <c r="U230" s="222">
        <f>R230*$C$4</f>
        <v>0</v>
      </c>
      <c r="V230" s="222">
        <f>U230-G230</f>
        <v>0</v>
      </c>
      <c r="W230" s="228">
        <f>IF(G230=0,0,V230/G230)</f>
        <v>0</v>
      </c>
      <c r="X230" s="228"/>
    </row>
    <row r="231" spans="1:24" x14ac:dyDescent="0.25">
      <c r="A231" s="113" t="s">
        <v>170</v>
      </c>
      <c r="B231" s="174" t="s">
        <v>166</v>
      </c>
      <c r="C231" s="310"/>
      <c r="D231" s="339"/>
      <c r="E231" s="338"/>
      <c r="F231" s="320">
        <f>D231*E231</f>
        <v>0</v>
      </c>
      <c r="G231" s="435">
        <f>F231*C4</f>
        <v>0</v>
      </c>
      <c r="H231" s="239"/>
      <c r="I231" s="239"/>
      <c r="J231" s="239"/>
      <c r="K231" s="239"/>
      <c r="L231" s="239"/>
      <c r="M231" s="239"/>
      <c r="N231" s="239"/>
      <c r="O231" s="239"/>
      <c r="P231" s="239"/>
      <c r="Q231" s="250"/>
      <c r="R231" s="261"/>
      <c r="S231" s="222">
        <f>R231-F231</f>
        <v>0</v>
      </c>
      <c r="T231" s="228">
        <f>IF(F231=0,0,S231/F231)</f>
        <v>0</v>
      </c>
      <c r="U231" s="222">
        <f>R231*$C$4</f>
        <v>0</v>
      </c>
      <c r="V231" s="222">
        <f>U231-G231</f>
        <v>0</v>
      </c>
      <c r="W231" s="228">
        <f>IF(G231=0,0,V231/G231)</f>
        <v>0</v>
      </c>
      <c r="X231" s="228"/>
    </row>
    <row r="232" spans="1:24" x14ac:dyDescent="0.25">
      <c r="A232" s="103"/>
      <c r="B232" s="174"/>
      <c r="C232" s="368"/>
      <c r="D232" s="367"/>
      <c r="E232" s="366"/>
      <c r="F232" s="320"/>
      <c r="G232" s="435"/>
      <c r="H232" s="239"/>
      <c r="I232" s="239"/>
      <c r="J232" s="239"/>
      <c r="K232" s="239"/>
      <c r="L232" s="239"/>
      <c r="M232" s="239"/>
      <c r="N232" s="239"/>
      <c r="O232" s="239"/>
      <c r="P232" s="239"/>
      <c r="Q232" s="250"/>
      <c r="R232" s="255"/>
      <c r="S232" s="234"/>
      <c r="T232" s="235"/>
      <c r="U232" s="234"/>
      <c r="V232" s="234"/>
      <c r="W232" s="235"/>
      <c r="X232" s="235"/>
    </row>
    <row r="233" spans="1:24" ht="13.8" thickBot="1" x14ac:dyDescent="0.3">
      <c r="A233" s="103"/>
      <c r="B233" s="150" t="s">
        <v>167</v>
      </c>
      <c r="C233" s="326"/>
      <c r="D233" s="325"/>
      <c r="E233" s="324"/>
      <c r="F233" s="316">
        <f>SUM(F229:F231)</f>
        <v>0</v>
      </c>
      <c r="G233" s="316">
        <f>SUM(G229:G231)</f>
        <v>0</v>
      </c>
      <c r="H233" s="286"/>
      <c r="I233" s="286"/>
      <c r="J233" s="286"/>
      <c r="K233" s="286"/>
      <c r="L233" s="286"/>
      <c r="M233" s="286"/>
      <c r="N233" s="286"/>
      <c r="O233" s="286"/>
      <c r="P233" s="286"/>
      <c r="Q233" s="312"/>
      <c r="R233" s="311"/>
      <c r="S233" s="234">
        <f>R233-F233</f>
        <v>0</v>
      </c>
      <c r="T233" s="235">
        <f>IF(F233=0,0,S233/F233)</f>
        <v>0</v>
      </c>
      <c r="U233" s="234">
        <f>R233*$C$4</f>
        <v>0</v>
      </c>
      <c r="V233" s="234">
        <f>U233-G233</f>
        <v>0</v>
      </c>
      <c r="W233" s="235">
        <f>IF(G233=0,0,V233/G233)</f>
        <v>0</v>
      </c>
      <c r="X233" s="235"/>
    </row>
    <row r="234" spans="1:24" ht="13.8" thickTop="1" x14ac:dyDescent="0.25">
      <c r="A234" s="103"/>
      <c r="B234" s="150"/>
      <c r="C234" s="294"/>
      <c r="D234" s="293"/>
      <c r="E234" s="292"/>
      <c r="F234" s="315"/>
      <c r="G234" s="315"/>
      <c r="H234" s="286"/>
      <c r="I234" s="286"/>
      <c r="J234" s="286"/>
      <c r="K234" s="286"/>
      <c r="L234" s="286"/>
      <c r="M234" s="286"/>
      <c r="N234" s="286"/>
      <c r="O234" s="286"/>
      <c r="P234" s="286"/>
      <c r="Q234" s="312"/>
      <c r="R234" s="314"/>
      <c r="S234" s="222"/>
      <c r="T234" s="228"/>
      <c r="U234" s="222"/>
      <c r="V234" s="222"/>
      <c r="W234" s="228"/>
      <c r="X234" s="228"/>
    </row>
    <row r="235" spans="1:24" ht="13.8" thickBot="1" x14ac:dyDescent="0.3">
      <c r="A235" s="180"/>
      <c r="B235" s="181" t="s">
        <v>53</v>
      </c>
      <c r="C235" s="303"/>
      <c r="D235" s="302"/>
      <c r="E235" s="301"/>
      <c r="F235" s="313">
        <f>SUM(F103+F165+F180+F199+F208+F217+F226+F233)</f>
        <v>515562.277</v>
      </c>
      <c r="G235" s="313">
        <f>SUM(G103+G165+G180+G199+G208+G217+G226+G233)</f>
        <v>703483.84369170619</v>
      </c>
      <c r="H235" s="286"/>
      <c r="I235" s="286"/>
      <c r="J235" s="286"/>
      <c r="K235" s="286"/>
      <c r="L235" s="286"/>
      <c r="M235" s="286"/>
      <c r="N235" s="286"/>
      <c r="O235" s="286"/>
      <c r="P235" s="286"/>
      <c r="Q235" s="312"/>
      <c r="R235" s="311"/>
      <c r="S235" s="296">
        <f>R235-F235</f>
        <v>-515562.277</v>
      </c>
      <c r="T235" s="295">
        <f>IF(F235=0,0,S235/F235)</f>
        <v>-1</v>
      </c>
      <c r="U235" s="296">
        <f>R235*$C$4</f>
        <v>0</v>
      </c>
      <c r="V235" s="296">
        <f>U235-G235</f>
        <v>-703483.84369170619</v>
      </c>
      <c r="W235" s="295">
        <f>IF(G235=0,0,V235/G235)</f>
        <v>-1</v>
      </c>
      <c r="X235" s="295"/>
    </row>
    <row r="236" spans="1:24" ht="13.8" thickTop="1" x14ac:dyDescent="0.25">
      <c r="B236" s="91"/>
      <c r="F236" s="276"/>
      <c r="G236" s="418"/>
      <c r="H236" s="239"/>
      <c r="I236" s="239"/>
      <c r="J236" s="239"/>
      <c r="K236" s="239"/>
      <c r="L236" s="239"/>
      <c r="M236" s="239"/>
      <c r="N236" s="239"/>
      <c r="O236" s="239"/>
      <c r="P236" s="239"/>
      <c r="Q236" s="250"/>
      <c r="R236" s="256"/>
      <c r="S236" s="222"/>
      <c r="T236" s="228"/>
      <c r="U236" s="222"/>
      <c r="V236" s="222"/>
      <c r="W236" s="228"/>
      <c r="X236" s="228"/>
    </row>
    <row r="237" spans="1:24" x14ac:dyDescent="0.25">
      <c r="A237" s="74" t="s">
        <v>61</v>
      </c>
      <c r="F237" s="276"/>
      <c r="G237" s="418"/>
      <c r="H237" s="239"/>
      <c r="I237" s="239"/>
      <c r="J237" s="239"/>
      <c r="K237" s="239"/>
      <c r="L237" s="239"/>
      <c r="M237" s="239"/>
      <c r="N237" s="239"/>
      <c r="O237" s="239"/>
      <c r="P237" s="239"/>
      <c r="Q237" s="250"/>
      <c r="R237" s="256"/>
      <c r="S237" s="222"/>
      <c r="T237" s="228"/>
      <c r="U237" s="222"/>
      <c r="V237" s="222"/>
      <c r="W237" s="228"/>
      <c r="X237" s="228"/>
    </row>
    <row r="238" spans="1:24" x14ac:dyDescent="0.25">
      <c r="A238" s="74" t="s">
        <v>18</v>
      </c>
      <c r="B238" s="185" t="s">
        <v>9</v>
      </c>
      <c r="F238" s="276"/>
      <c r="G238" s="418"/>
      <c r="H238" s="239"/>
      <c r="I238" s="239"/>
      <c r="J238" s="239"/>
      <c r="K238" s="239"/>
      <c r="L238" s="239"/>
      <c r="M238" s="239"/>
      <c r="N238" s="239"/>
      <c r="O238" s="239"/>
      <c r="P238" s="239"/>
      <c r="Q238" s="250"/>
      <c r="R238" s="256"/>
      <c r="S238" s="222"/>
      <c r="T238" s="228"/>
      <c r="U238" s="222"/>
      <c r="V238" s="222"/>
      <c r="W238" s="228"/>
      <c r="X238" s="228"/>
    </row>
    <row r="239" spans="1:24" x14ac:dyDescent="0.25">
      <c r="B239" s="141" t="s">
        <v>37</v>
      </c>
      <c r="C239" s="310"/>
      <c r="D239" s="339"/>
      <c r="E239" s="338"/>
      <c r="F239" s="276">
        <f>D239*E239</f>
        <v>0</v>
      </c>
      <c r="G239" s="418">
        <f>F239*C4</f>
        <v>0</v>
      </c>
      <c r="H239" s="239"/>
      <c r="I239" s="239"/>
      <c r="J239" s="239"/>
      <c r="K239" s="239"/>
      <c r="L239" s="239"/>
      <c r="M239" s="239"/>
      <c r="N239" s="239"/>
      <c r="O239" s="239"/>
      <c r="P239" s="239"/>
      <c r="Q239" s="250"/>
      <c r="R239" s="261"/>
      <c r="S239" s="222">
        <f>R239-F239</f>
        <v>0</v>
      </c>
      <c r="T239" s="228">
        <f>IF(F239=0,0,S239/F239)</f>
        <v>0</v>
      </c>
      <c r="U239" s="222">
        <f>R239*$C$4</f>
        <v>0</v>
      </c>
      <c r="V239" s="222">
        <f>U239-G239</f>
        <v>0</v>
      </c>
      <c r="W239" s="228">
        <f>IF(G239=0,0,V239/G239)</f>
        <v>0</v>
      </c>
      <c r="X239" s="228"/>
    </row>
    <row r="240" spans="1:24" x14ac:dyDescent="0.25">
      <c r="A240" s="113" t="s">
        <v>608</v>
      </c>
      <c r="B240" s="818" t="s">
        <v>908</v>
      </c>
      <c r="C240" s="310" t="s">
        <v>314</v>
      </c>
      <c r="D240" s="339">
        <v>12</v>
      </c>
      <c r="E240" s="338">
        <f>(4800+2650)*0.2</f>
        <v>1490</v>
      </c>
      <c r="F240" s="276">
        <f>D240*E240*0.2</f>
        <v>3576</v>
      </c>
      <c r="G240" s="418">
        <f>F240*C4</f>
        <v>5050.8474576271192</v>
      </c>
      <c r="H240" s="239"/>
      <c r="I240" s="239"/>
      <c r="J240" s="239"/>
      <c r="K240" s="239"/>
      <c r="L240" s="239"/>
      <c r="M240" s="239"/>
      <c r="N240" s="239"/>
      <c r="O240" s="239"/>
      <c r="P240" s="239"/>
      <c r="Q240" s="250"/>
      <c r="R240" s="261"/>
      <c r="S240" s="222">
        <f>R240-F240</f>
        <v>-3576</v>
      </c>
      <c r="T240" s="228">
        <f>IF(F240=0,0,S240/F240)</f>
        <v>-1</v>
      </c>
      <c r="U240" s="222">
        <f>R240*$C$4</f>
        <v>0</v>
      </c>
      <c r="V240" s="222">
        <f>U240-G240</f>
        <v>-5050.8474576271192</v>
      </c>
      <c r="W240" s="228">
        <f>IF(G240=0,0,V240/G240)</f>
        <v>-1</v>
      </c>
      <c r="X240" s="228"/>
    </row>
    <row r="241" spans="1:25" x14ac:dyDescent="0.25">
      <c r="A241" s="113" t="s">
        <v>609</v>
      </c>
      <c r="B241" s="153" t="s">
        <v>610</v>
      </c>
      <c r="C241" s="310" t="s">
        <v>314</v>
      </c>
      <c r="D241" s="339">
        <v>12</v>
      </c>
      <c r="E241" s="338">
        <f>(1900+(1900*0.1425)+40+(815*0.708/12))*0.2</f>
        <v>451.76700000000005</v>
      </c>
      <c r="F241" s="276">
        <f>D241*E241*0.3</f>
        <v>1626.3612000000001</v>
      </c>
      <c r="G241" s="418">
        <f>F241*C4</f>
        <v>2297.1203389830512</v>
      </c>
      <c r="H241" s="239"/>
      <c r="I241" s="239"/>
      <c r="J241" s="239"/>
      <c r="K241" s="239"/>
      <c r="L241" s="239"/>
      <c r="M241" s="239"/>
      <c r="N241" s="239"/>
      <c r="O241" s="239"/>
      <c r="P241" s="239"/>
      <c r="Q241" s="250"/>
      <c r="R241" s="261"/>
      <c r="S241" s="222">
        <f>R241-F241</f>
        <v>-1626.3612000000001</v>
      </c>
      <c r="T241" s="228">
        <f>IF(F241=0,0,S241/F241)</f>
        <v>-1</v>
      </c>
      <c r="U241" s="222">
        <f>R241*$C$4</f>
        <v>0</v>
      </c>
      <c r="V241" s="222">
        <f>U241-G241</f>
        <v>-2297.1203389830512</v>
      </c>
      <c r="W241" s="228">
        <f>IF(G241=0,0,V241/G241)</f>
        <v>-1</v>
      </c>
      <c r="X241" s="228"/>
    </row>
    <row r="242" spans="1:25" x14ac:dyDescent="0.25">
      <c r="A242" s="113" t="s">
        <v>611</v>
      </c>
      <c r="B242" s="153" t="s">
        <v>612</v>
      </c>
      <c r="C242" s="310" t="s">
        <v>314</v>
      </c>
      <c r="D242" s="339">
        <v>12</v>
      </c>
      <c r="E242" s="338">
        <f>(700+(700*0.1425)+40+(815*0.708/12))*0.2</f>
        <v>177.56700000000001</v>
      </c>
      <c r="F242" s="276">
        <f>D242*E242*0.3</f>
        <v>639.24120000000005</v>
      </c>
      <c r="G242" s="418">
        <f>F242*C4</f>
        <v>902.88305084745775</v>
      </c>
      <c r="H242" s="239"/>
      <c r="I242" s="239"/>
      <c r="J242" s="239"/>
      <c r="K242" s="239"/>
      <c r="L242" s="239"/>
      <c r="M242" s="239"/>
      <c r="N242" s="239"/>
      <c r="O242" s="239"/>
      <c r="P242" s="239"/>
      <c r="Q242" s="250"/>
      <c r="R242" s="261"/>
      <c r="S242" s="222"/>
      <c r="T242" s="228"/>
      <c r="U242" s="222"/>
      <c r="V242" s="222"/>
      <c r="W242" s="228"/>
      <c r="X242" s="228"/>
    </row>
    <row r="243" spans="1:25" x14ac:dyDescent="0.25">
      <c r="A243" s="113" t="s">
        <v>613</v>
      </c>
      <c r="B243" s="153" t="s">
        <v>614</v>
      </c>
      <c r="C243" s="310" t="s">
        <v>314</v>
      </c>
      <c r="D243" s="339">
        <v>12</v>
      </c>
      <c r="E243" s="338">
        <f>(850+(850*0.1425)+40+(1500*0.708/12))*0.2</f>
        <v>219.92500000000001</v>
      </c>
      <c r="F243" s="276">
        <f>D243*E243*0.3</f>
        <v>791.73000000000013</v>
      </c>
      <c r="G243" s="418">
        <f>F243*C4</f>
        <v>1118.262711864407</v>
      </c>
      <c r="H243" s="239"/>
      <c r="I243" s="239"/>
      <c r="J243" s="239"/>
      <c r="K243" s="239"/>
      <c r="L243" s="239"/>
      <c r="M243" s="239"/>
      <c r="N243" s="239"/>
      <c r="O243" s="239"/>
      <c r="P243" s="239"/>
      <c r="Q243" s="250"/>
      <c r="R243" s="261"/>
      <c r="S243" s="222"/>
      <c r="T243" s="228"/>
      <c r="U243" s="222"/>
      <c r="V243" s="222"/>
      <c r="W243" s="228"/>
      <c r="X243" s="228"/>
    </row>
    <row r="244" spans="1:25" x14ac:dyDescent="0.25">
      <c r="A244" s="113"/>
      <c r="B244" s="186" t="s">
        <v>39</v>
      </c>
      <c r="C244" s="306"/>
      <c r="D244" s="305"/>
      <c r="E244" s="304"/>
      <c r="F244" s="276"/>
      <c r="G244" s="418"/>
      <c r="H244" s="239"/>
      <c r="I244" s="239"/>
      <c r="J244" s="239"/>
      <c r="K244" s="239"/>
      <c r="L244" s="239"/>
      <c r="M244" s="239"/>
      <c r="N244" s="239"/>
      <c r="O244" s="239"/>
      <c r="P244" s="239"/>
      <c r="Q244" s="250"/>
      <c r="R244" s="256"/>
      <c r="S244" s="222"/>
      <c r="T244" s="228"/>
      <c r="U244" s="222"/>
      <c r="V244" s="222"/>
      <c r="W244" s="228"/>
      <c r="X244" s="228"/>
    </row>
    <row r="245" spans="1:25" ht="26.4" x14ac:dyDescent="0.25">
      <c r="A245" s="113" t="s">
        <v>615</v>
      </c>
      <c r="B245" s="141" t="s">
        <v>899</v>
      </c>
      <c r="C245" s="310" t="s">
        <v>399</v>
      </c>
      <c r="D245" s="339">
        <v>12</v>
      </c>
      <c r="E245" s="338">
        <f>(1000+75)*0.2</f>
        <v>215</v>
      </c>
      <c r="F245" s="276">
        <f>D245*E245</f>
        <v>2580</v>
      </c>
      <c r="G245" s="418">
        <f>F245*C4</f>
        <v>3644.0677966101698</v>
      </c>
      <c r="H245" s="239"/>
      <c r="I245" s="239"/>
      <c r="J245" s="239"/>
      <c r="K245" s="239"/>
      <c r="L245" s="239"/>
      <c r="M245" s="239"/>
      <c r="N245" s="239"/>
      <c r="O245" s="239"/>
      <c r="P245" s="239"/>
      <c r="Q245" s="250"/>
      <c r="R245" s="261"/>
      <c r="S245" s="222">
        <f>R245-F245</f>
        <v>-2580</v>
      </c>
      <c r="T245" s="228">
        <f>IF(F245=0,0,S245/F245)</f>
        <v>-1</v>
      </c>
      <c r="U245" s="222">
        <f>R245*$C$4</f>
        <v>0</v>
      </c>
      <c r="V245" s="222">
        <f>U245-G245</f>
        <v>-3644.0677966101698</v>
      </c>
      <c r="W245" s="228">
        <f>IF(G245=0,0,V245/G245)</f>
        <v>-1</v>
      </c>
      <c r="X245" s="228"/>
      <c r="Y245" s="35" t="s">
        <v>898</v>
      </c>
    </row>
    <row r="246" spans="1:25" x14ac:dyDescent="0.25">
      <c r="A246" s="113" t="s">
        <v>616</v>
      </c>
      <c r="B246" s="141" t="s">
        <v>617</v>
      </c>
      <c r="C246" s="310" t="s">
        <v>399</v>
      </c>
      <c r="D246" s="339">
        <v>12</v>
      </c>
      <c r="E246" s="819">
        <f>500*0.2</f>
        <v>100</v>
      </c>
      <c r="F246" s="276">
        <f>D246*E246</f>
        <v>1200</v>
      </c>
      <c r="G246" s="418">
        <f>F246*C4</f>
        <v>1694.9152542372883</v>
      </c>
      <c r="H246" s="239"/>
      <c r="I246" s="239"/>
      <c r="J246" s="239"/>
      <c r="K246" s="239"/>
      <c r="L246" s="239"/>
      <c r="M246" s="239"/>
      <c r="N246" s="239"/>
      <c r="O246" s="239"/>
      <c r="P246" s="239"/>
      <c r="Q246" s="250"/>
      <c r="R246" s="261"/>
      <c r="S246" s="222">
        <f>R246-F246</f>
        <v>-1200</v>
      </c>
      <c r="T246" s="228">
        <f>IF(F246=0,0,S246/F246)</f>
        <v>-1</v>
      </c>
      <c r="U246" s="222">
        <f>R246*$C$4</f>
        <v>0</v>
      </c>
      <c r="V246" s="222">
        <f>U246-G246</f>
        <v>-1694.9152542372883</v>
      </c>
      <c r="W246" s="228">
        <f>IF(G246=0,0,V246/G246)</f>
        <v>-1</v>
      </c>
      <c r="X246" s="228"/>
    </row>
    <row r="247" spans="1:25" x14ac:dyDescent="0.25">
      <c r="A247" s="113" t="s">
        <v>618</v>
      </c>
      <c r="B247" s="141" t="s">
        <v>619</v>
      </c>
      <c r="C247" s="310" t="s">
        <v>399</v>
      </c>
      <c r="D247" s="339">
        <v>12</v>
      </c>
      <c r="E247" s="338">
        <f>(225)*0.2</f>
        <v>45</v>
      </c>
      <c r="F247" s="276">
        <f>D247*E247</f>
        <v>540</v>
      </c>
      <c r="G247" s="418">
        <f>F247*C4</f>
        <v>762.71186440677968</v>
      </c>
      <c r="H247" s="239"/>
      <c r="I247" s="239"/>
      <c r="J247" s="239"/>
      <c r="K247" s="239"/>
      <c r="L247" s="239"/>
      <c r="M247" s="239"/>
      <c r="N247" s="239"/>
      <c r="O247" s="239"/>
      <c r="P247" s="239"/>
      <c r="Q247" s="250"/>
      <c r="R247" s="261"/>
      <c r="S247" s="222">
        <f>R247-F247</f>
        <v>-540</v>
      </c>
      <c r="T247" s="228">
        <f>IF(F247=0,0,S247/F247)</f>
        <v>-1</v>
      </c>
      <c r="U247" s="222">
        <f>R247*$C$4</f>
        <v>0</v>
      </c>
      <c r="V247" s="222">
        <f>U247-G247</f>
        <v>-762.71186440677968</v>
      </c>
      <c r="W247" s="228">
        <f>IF(G247=0,0,V247/G247)</f>
        <v>-1</v>
      </c>
      <c r="X247" s="228"/>
    </row>
    <row r="248" spans="1:25" x14ac:dyDescent="0.25">
      <c r="A248" s="113"/>
      <c r="B248" s="186" t="s">
        <v>43</v>
      </c>
      <c r="C248" s="306"/>
      <c r="D248" s="305"/>
      <c r="E248" s="304"/>
      <c r="F248" s="276"/>
      <c r="G248" s="418"/>
      <c r="H248" s="239"/>
      <c r="I248" s="239"/>
      <c r="J248" s="239"/>
      <c r="K248" s="239"/>
      <c r="L248" s="239"/>
      <c r="M248" s="239"/>
      <c r="N248" s="239"/>
      <c r="O248" s="239"/>
      <c r="P248" s="239"/>
      <c r="Q248" s="250"/>
      <c r="R248" s="256"/>
      <c r="S248" s="222"/>
      <c r="T248" s="228"/>
      <c r="U248" s="222"/>
      <c r="V248" s="222"/>
      <c r="W248" s="228"/>
      <c r="X248" s="228"/>
    </row>
    <row r="249" spans="1:25" x14ac:dyDescent="0.25">
      <c r="A249" s="113" t="s">
        <v>621</v>
      </c>
      <c r="B249" s="141" t="s">
        <v>622</v>
      </c>
      <c r="C249" s="310" t="s">
        <v>399</v>
      </c>
      <c r="D249" s="339">
        <v>12</v>
      </c>
      <c r="E249" s="338">
        <f>485.87*0.2</f>
        <v>97.174000000000007</v>
      </c>
      <c r="F249" s="276">
        <f>D249*E249</f>
        <v>1166.0880000000002</v>
      </c>
      <c r="G249" s="418">
        <f>F249*C4</f>
        <v>1647.0169491525428</v>
      </c>
      <c r="H249" s="239"/>
      <c r="I249" s="239"/>
      <c r="J249" s="239"/>
      <c r="K249" s="239"/>
      <c r="L249" s="239"/>
      <c r="M249" s="239"/>
      <c r="N249" s="239"/>
      <c r="O249" s="239"/>
      <c r="P249" s="239"/>
      <c r="Q249" s="250"/>
      <c r="R249" s="261"/>
      <c r="S249" s="222">
        <f>R249-F249</f>
        <v>-1166.0880000000002</v>
      </c>
      <c r="T249" s="228">
        <f>IF(F249=0,0,S249/F249)</f>
        <v>-1</v>
      </c>
      <c r="U249" s="222">
        <f>R249*$C$4</f>
        <v>0</v>
      </c>
      <c r="V249" s="222">
        <f>U249-G249</f>
        <v>-1647.0169491525428</v>
      </c>
      <c r="W249" s="228">
        <f>IF(G249=0,0,V249/G249)</f>
        <v>-1</v>
      </c>
      <c r="X249" s="228"/>
    </row>
    <row r="250" spans="1:25" x14ac:dyDescent="0.25">
      <c r="A250" s="113" t="s">
        <v>623</v>
      </c>
      <c r="B250" s="186" t="s">
        <v>45</v>
      </c>
      <c r="C250" s="5"/>
      <c r="D250" s="5"/>
      <c r="E250" s="5"/>
      <c r="F250" s="172"/>
      <c r="G250" s="418"/>
      <c r="H250" s="239"/>
      <c r="I250" s="239"/>
      <c r="J250" s="239"/>
      <c r="K250" s="239"/>
      <c r="L250" s="239"/>
      <c r="M250" s="239"/>
      <c r="N250" s="239"/>
      <c r="O250" s="239"/>
      <c r="P250" s="239"/>
      <c r="Q250" s="250"/>
      <c r="R250" s="256"/>
      <c r="S250" s="222"/>
      <c r="T250" s="228"/>
      <c r="U250" s="222"/>
      <c r="V250" s="222"/>
      <c r="W250" s="228"/>
      <c r="X250" s="228"/>
    </row>
    <row r="251" spans="1:25" x14ac:dyDescent="0.25">
      <c r="A251" s="113" t="s">
        <v>624</v>
      </c>
      <c r="B251" s="141" t="s">
        <v>625</v>
      </c>
      <c r="C251" s="310" t="s">
        <v>399</v>
      </c>
      <c r="D251" s="339">
        <v>12</v>
      </c>
      <c r="E251" s="338">
        <f>300*0.2</f>
        <v>60</v>
      </c>
      <c r="F251" s="276">
        <f>D251*E251</f>
        <v>720</v>
      </c>
      <c r="G251" s="418">
        <f>F251*C4</f>
        <v>1016.949152542373</v>
      </c>
      <c r="H251" s="239"/>
      <c r="I251" s="239"/>
      <c r="J251" s="239"/>
      <c r="K251" s="239"/>
      <c r="L251" s="239"/>
      <c r="M251" s="239"/>
      <c r="N251" s="239"/>
      <c r="O251" s="239"/>
      <c r="P251" s="239"/>
      <c r="Q251" s="250"/>
      <c r="R251" s="261"/>
      <c r="S251" s="222">
        <f>R251-F251</f>
        <v>-720</v>
      </c>
      <c r="T251" s="228">
        <f>IF(F251=0,0,S251/F251)</f>
        <v>-1</v>
      </c>
      <c r="U251" s="222">
        <f>R251*$C$4</f>
        <v>0</v>
      </c>
      <c r="V251" s="222">
        <f>U251-G251</f>
        <v>-1016.949152542373</v>
      </c>
      <c r="W251" s="228">
        <f>IF(G251=0,0,V251/G251)</f>
        <v>-1</v>
      </c>
      <c r="X251" s="228"/>
    </row>
    <row r="252" spans="1:25" x14ac:dyDescent="0.25">
      <c r="A252" s="113" t="s">
        <v>626</v>
      </c>
      <c r="B252" s="141" t="s">
        <v>627</v>
      </c>
      <c r="C252" s="310" t="s">
        <v>399</v>
      </c>
      <c r="D252" s="339">
        <v>12</v>
      </c>
      <c r="E252" s="338">
        <f>133.75*0.2</f>
        <v>26.75</v>
      </c>
      <c r="F252" s="276">
        <f>D252*E252</f>
        <v>321</v>
      </c>
      <c r="G252" s="418">
        <f>F252*C4</f>
        <v>453.38983050847463</v>
      </c>
      <c r="H252" s="239"/>
      <c r="I252" s="239"/>
      <c r="J252" s="239"/>
      <c r="K252" s="239"/>
      <c r="L252" s="239"/>
      <c r="M252" s="239"/>
      <c r="N252" s="239"/>
      <c r="O252" s="239"/>
      <c r="P252" s="239"/>
      <c r="Q252" s="250"/>
      <c r="R252" s="261"/>
      <c r="S252" s="222">
        <f>R252-F252</f>
        <v>-321</v>
      </c>
      <c r="T252" s="228">
        <f>IF(F252=0,0,S252/F252)</f>
        <v>-1</v>
      </c>
      <c r="U252" s="222">
        <f>R252*$C$4</f>
        <v>0</v>
      </c>
      <c r="V252" s="222">
        <f>U252-G252</f>
        <v>-453.38983050847463</v>
      </c>
      <c r="W252" s="228">
        <f>IF(G252=0,0,V252/G252)</f>
        <v>-1</v>
      </c>
      <c r="X252" s="228"/>
    </row>
    <row r="253" spans="1:25" x14ac:dyDescent="0.25">
      <c r="A253" s="113" t="s">
        <v>628</v>
      </c>
      <c r="B253" s="141" t="s">
        <v>629</v>
      </c>
      <c r="C253" s="310" t="s">
        <v>482</v>
      </c>
      <c r="D253" s="339">
        <v>1</v>
      </c>
      <c r="E253" s="338">
        <f>125*0.2</f>
        <v>25</v>
      </c>
      <c r="F253" s="276">
        <f>D253*E253</f>
        <v>25</v>
      </c>
      <c r="G253" s="418">
        <f>F253*C4</f>
        <v>35.310734463276837</v>
      </c>
      <c r="H253" s="239"/>
      <c r="I253" s="239"/>
      <c r="J253" s="239"/>
      <c r="K253" s="239"/>
      <c r="L253" s="239"/>
      <c r="M253" s="239"/>
      <c r="N253" s="239"/>
      <c r="O253" s="239"/>
      <c r="P253" s="239"/>
      <c r="Q253" s="250"/>
      <c r="R253" s="261"/>
      <c r="S253" s="222">
        <f>R253-F253</f>
        <v>-25</v>
      </c>
      <c r="T253" s="228">
        <f>IF(F253=0,0,S253/F253)</f>
        <v>-1</v>
      </c>
      <c r="U253" s="222">
        <f>R253*$C$4</f>
        <v>0</v>
      </c>
      <c r="V253" s="222">
        <f>U253-G253</f>
        <v>-35.310734463276837</v>
      </c>
      <c r="W253" s="228">
        <f>IF(G253=0,0,V253/G253)</f>
        <v>-1</v>
      </c>
      <c r="X253" s="228"/>
    </row>
    <row r="254" spans="1:25" x14ac:dyDescent="0.25">
      <c r="A254" s="74" t="s">
        <v>900</v>
      </c>
      <c r="B254" s="141" t="s">
        <v>620</v>
      </c>
      <c r="C254" s="310" t="s">
        <v>399</v>
      </c>
      <c r="D254" s="339">
        <v>12</v>
      </c>
      <c r="E254" s="338">
        <f>187.5*0.2</f>
        <v>37.5</v>
      </c>
      <c r="F254" s="276">
        <f>D254*E254</f>
        <v>450</v>
      </c>
      <c r="G254" s="418">
        <f>F254*C4</f>
        <v>635.59322033898309</v>
      </c>
      <c r="H254" s="239"/>
      <c r="I254" s="239"/>
      <c r="J254" s="239"/>
      <c r="K254" s="239"/>
      <c r="L254" s="239"/>
      <c r="M254" s="239"/>
      <c r="N254" s="239"/>
      <c r="O254" s="239"/>
      <c r="P254" s="239"/>
      <c r="Q254" s="250"/>
      <c r="R254" s="256"/>
      <c r="S254" s="222"/>
      <c r="T254" s="228"/>
      <c r="U254" s="222"/>
      <c r="V254" s="222"/>
      <c r="W254" s="228"/>
      <c r="X254" s="228"/>
    </row>
    <row r="255" spans="1:25" x14ac:dyDescent="0.25">
      <c r="A255" s="181"/>
      <c r="B255" s="181" t="s">
        <v>62</v>
      </c>
      <c r="C255" s="303"/>
      <c r="D255" s="302"/>
      <c r="E255" s="301"/>
      <c r="F255" s="402">
        <f>SUM(F239:F254)</f>
        <v>13635.420400000001</v>
      </c>
      <c r="G255" s="402">
        <f>SUM(G239:G254)</f>
        <v>19259.068361581922</v>
      </c>
      <c r="H255" s="345"/>
      <c r="I255" s="345"/>
      <c r="J255" s="345"/>
      <c r="K255" s="345"/>
      <c r="L255" s="345"/>
      <c r="M255" s="345"/>
      <c r="N255" s="345"/>
      <c r="O255" s="345"/>
      <c r="P255" s="345"/>
      <c r="Q255" s="344"/>
      <c r="R255" s="385"/>
      <c r="S255" s="296">
        <f>R255-F255</f>
        <v>-13635.420400000001</v>
      </c>
      <c r="T255" s="295">
        <f>IF(F255=0,0,S255/F255)</f>
        <v>-1</v>
      </c>
      <c r="U255" s="296">
        <f>R255*$C$4</f>
        <v>0</v>
      </c>
      <c r="V255" s="296">
        <f>U255-G255</f>
        <v>-19259.068361581922</v>
      </c>
      <c r="W255" s="295">
        <f>IF(G255=0,0,V255/G255)</f>
        <v>-1</v>
      </c>
      <c r="X255" s="295"/>
    </row>
    <row r="256" spans="1:25" x14ac:dyDescent="0.25">
      <c r="A256" s="150"/>
      <c r="B256" s="150"/>
      <c r="C256" s="294"/>
      <c r="D256" s="293"/>
      <c r="E256" s="292"/>
      <c r="F256" s="291">
        <f>(F255/F258)</f>
        <v>2.5766212640365133E-2</v>
      </c>
      <c r="G256" s="291">
        <f>(G255/G258)</f>
        <v>2.6647190917262076E-2</v>
      </c>
      <c r="H256" s="290"/>
      <c r="I256" s="289"/>
      <c r="J256" s="289"/>
      <c r="K256" s="289"/>
      <c r="L256" s="289"/>
      <c r="M256" s="289"/>
      <c r="N256" s="289"/>
      <c r="O256" s="289"/>
      <c r="P256" s="289"/>
      <c r="Q256" s="289"/>
      <c r="R256" s="288"/>
      <c r="S256" s="288"/>
      <c r="T256" s="288"/>
      <c r="U256" s="288"/>
      <c r="V256" s="288"/>
      <c r="W256" s="288"/>
      <c r="X256" s="288"/>
      <c r="Y256" s="39"/>
    </row>
    <row r="257" spans="1:25" x14ac:dyDescent="0.25">
      <c r="F257" s="276"/>
      <c r="G257" s="418"/>
      <c r="H257" s="239"/>
      <c r="I257" s="239"/>
      <c r="J257" s="239"/>
      <c r="K257" s="239"/>
      <c r="L257" s="239"/>
      <c r="M257" s="239"/>
      <c r="N257" s="239"/>
      <c r="O257" s="239"/>
      <c r="P257" s="239"/>
      <c r="Q257" s="239"/>
      <c r="R257" s="1"/>
      <c r="S257" s="1"/>
      <c r="T257" s="1"/>
      <c r="U257" s="1"/>
      <c r="V257" s="1"/>
      <c r="W257" s="1"/>
      <c r="X257" s="1"/>
    </row>
    <row r="258" spans="1:25" ht="13.8" thickBot="1" x14ac:dyDescent="0.3">
      <c r="B258" s="74" t="s">
        <v>27</v>
      </c>
      <c r="F258" s="287">
        <f>SUM(F235+F255)</f>
        <v>529197.69739999995</v>
      </c>
      <c r="G258" s="287">
        <f>G235+G255</f>
        <v>722742.91205328808</v>
      </c>
      <c r="H258" s="286"/>
      <c r="I258" s="286"/>
      <c r="J258" s="286"/>
      <c r="K258" s="286"/>
      <c r="L258" s="286"/>
      <c r="M258" s="286"/>
      <c r="N258" s="286"/>
      <c r="O258" s="286"/>
      <c r="P258" s="286"/>
      <c r="Q258" s="286"/>
      <c r="R258" s="285"/>
      <c r="S258" s="285"/>
      <c r="T258" s="285"/>
      <c r="U258" s="285"/>
      <c r="V258" s="285"/>
      <c r="W258" s="285"/>
      <c r="X258" s="285"/>
    </row>
    <row r="259" spans="1:25" ht="13.8" thickTop="1" x14ac:dyDescent="0.25">
      <c r="F259" s="276"/>
      <c r="G259" s="276"/>
      <c r="H259" s="284"/>
      <c r="I259" s="284"/>
      <c r="J259" s="284"/>
      <c r="K259" s="284"/>
      <c r="L259" s="284"/>
      <c r="M259" s="284"/>
      <c r="N259" s="284"/>
      <c r="O259" s="284"/>
      <c r="P259" s="284"/>
      <c r="Q259" s="284"/>
      <c r="R259" s="283"/>
      <c r="S259" s="283"/>
      <c r="T259" s="283"/>
      <c r="U259" s="283"/>
      <c r="V259" s="283"/>
      <c r="W259" s="283"/>
      <c r="X259" s="283"/>
    </row>
    <row r="260" spans="1:25" x14ac:dyDescent="0.25">
      <c r="A260" s="74" t="s">
        <v>36</v>
      </c>
      <c r="B260" s="39"/>
      <c r="F260" s="1">
        <f>F258*0.03</f>
        <v>15875.930921999998</v>
      </c>
      <c r="G260" s="431">
        <f>G258*0.03</f>
        <v>21682.287361598643</v>
      </c>
      <c r="H260" s="239"/>
      <c r="I260" s="239"/>
      <c r="J260" s="239"/>
      <c r="K260" s="239"/>
      <c r="L260" s="239"/>
      <c r="M260" s="239"/>
      <c r="N260" s="239"/>
      <c r="O260" s="239"/>
      <c r="P260" s="239"/>
      <c r="Q260" s="239"/>
      <c r="R260" s="1"/>
      <c r="S260" s="1"/>
      <c r="T260" s="1"/>
      <c r="U260" s="1"/>
      <c r="V260" s="1"/>
      <c r="W260" s="1"/>
      <c r="X260" s="1"/>
    </row>
    <row r="261" spans="1:25" x14ac:dyDescent="0.25">
      <c r="F261" s="276"/>
      <c r="G261" s="418"/>
      <c r="H261" s="239"/>
      <c r="I261" s="239"/>
      <c r="J261" s="239"/>
      <c r="K261" s="239"/>
      <c r="L261" s="239"/>
      <c r="M261" s="239"/>
      <c r="N261" s="239"/>
      <c r="O261" s="239"/>
      <c r="P261" s="239"/>
      <c r="Q261" s="239"/>
      <c r="R261" s="1"/>
      <c r="S261" s="1"/>
      <c r="T261" s="1"/>
      <c r="U261" s="1"/>
      <c r="V261" s="1"/>
      <c r="W261" s="1"/>
      <c r="X261" s="1"/>
    </row>
    <row r="262" spans="1:25" ht="13.8" thickBot="1" x14ac:dyDescent="0.3">
      <c r="A262" s="117"/>
      <c r="B262" s="117" t="s">
        <v>28</v>
      </c>
      <c r="C262" s="282"/>
      <c r="D262" s="281"/>
      <c r="E262" s="280"/>
      <c r="F262" s="436">
        <f>SUM(F260+F258)</f>
        <v>545073.62832199992</v>
      </c>
      <c r="G262" s="436">
        <f>SUM(G260+G258)</f>
        <v>744425.19941488677</v>
      </c>
      <c r="H262" s="278"/>
      <c r="I262" s="278"/>
      <c r="J262" s="278"/>
      <c r="K262" s="278"/>
      <c r="L262" s="278"/>
      <c r="M262" s="278"/>
      <c r="N262" s="278"/>
      <c r="O262" s="278"/>
      <c r="P262" s="278"/>
      <c r="Q262" s="278"/>
      <c r="R262" s="277"/>
      <c r="S262" s="277"/>
      <c r="T262" s="277"/>
      <c r="U262" s="277"/>
      <c r="V262" s="277"/>
      <c r="W262" s="277"/>
      <c r="X262" s="277"/>
    </row>
    <row r="263" spans="1:25" hidden="1" x14ac:dyDescent="0.25">
      <c r="F263" s="276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"/>
      <c r="S263" s="1"/>
      <c r="T263" s="1"/>
      <c r="U263" s="1"/>
      <c r="V263" s="1"/>
      <c r="W263" s="1"/>
      <c r="X263" s="1"/>
    </row>
    <row r="264" spans="1:25" ht="13.8" hidden="1" thickBot="1" x14ac:dyDescent="0.3">
      <c r="A264" s="191" t="s">
        <v>24</v>
      </c>
      <c r="B264" s="192"/>
      <c r="C264" s="275"/>
      <c r="D264" s="274"/>
      <c r="E264" s="273"/>
      <c r="F264" s="272">
        <f>SUM(F262-F73)</f>
        <v>545073.62832199992</v>
      </c>
      <c r="G264" s="272">
        <f>SUM(G262-G73)</f>
        <v>744425.19941488677</v>
      </c>
      <c r="H264" s="271"/>
      <c r="I264" s="271"/>
      <c r="J264" s="271"/>
      <c r="K264" s="271"/>
      <c r="L264" s="271"/>
      <c r="M264" s="271"/>
      <c r="N264" s="271"/>
      <c r="O264" s="271"/>
      <c r="P264" s="271"/>
      <c r="Q264" s="271"/>
      <c r="R264" s="270"/>
      <c r="S264" s="270"/>
      <c r="T264" s="270"/>
      <c r="U264" s="270"/>
      <c r="V264" s="270"/>
      <c r="W264" s="270"/>
      <c r="X264" s="270"/>
    </row>
    <row r="265" spans="1:25" hidden="1" x14ac:dyDescent="0.25">
      <c r="F265" s="268"/>
    </row>
    <row r="266" spans="1:25" x14ac:dyDescent="0.25">
      <c r="F266" s="268"/>
    </row>
    <row r="267" spans="1:25" x14ac:dyDescent="0.25">
      <c r="F267" s="268"/>
    </row>
    <row r="268" spans="1:25" x14ac:dyDescent="0.25">
      <c r="A268" s="74" t="s">
        <v>15</v>
      </c>
      <c r="F268" s="268"/>
    </row>
    <row r="269" spans="1:25" x14ac:dyDescent="0.25">
      <c r="F269" s="268"/>
    </row>
    <row r="270" spans="1:25" ht="15" x14ac:dyDescent="0.4">
      <c r="B270" s="197" t="s">
        <v>16</v>
      </c>
      <c r="D270" s="269" t="s">
        <v>26</v>
      </c>
      <c r="F270" s="861" t="s">
        <v>17</v>
      </c>
      <c r="G270" s="861"/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199"/>
      <c r="T270" s="199"/>
      <c r="U270" s="199"/>
      <c r="V270" s="199"/>
      <c r="W270" s="199"/>
      <c r="X270" s="199"/>
    </row>
    <row r="271" spans="1:25" ht="36.75" customHeight="1" x14ac:dyDescent="0.25">
      <c r="B271" s="35" t="s">
        <v>630</v>
      </c>
      <c r="D271" s="437">
        <f>G202</f>
        <v>847.45762711864415</v>
      </c>
      <c r="F271" s="863" t="s">
        <v>631</v>
      </c>
      <c r="G271" s="863"/>
      <c r="H271" s="863"/>
      <c r="I271" s="863"/>
      <c r="J271" s="863"/>
      <c r="K271" s="863"/>
      <c r="L271" s="863"/>
      <c r="M271" s="863"/>
      <c r="N271" s="863"/>
      <c r="O271" s="863"/>
      <c r="P271" s="863"/>
      <c r="Q271" s="863"/>
      <c r="R271" s="863"/>
      <c r="S271" s="863"/>
      <c r="T271" s="863"/>
      <c r="U271" s="863"/>
      <c r="V271" s="863"/>
      <c r="W271" s="863"/>
      <c r="X271" s="863"/>
      <c r="Y271" s="863"/>
    </row>
    <row r="272" spans="1:25" ht="39" customHeight="1" x14ac:dyDescent="0.25">
      <c r="B272" s="81" t="s">
        <v>603</v>
      </c>
      <c r="D272" s="437">
        <f>G206</f>
        <v>1059.3220338983051</v>
      </c>
      <c r="F272" s="863" t="s">
        <v>632</v>
      </c>
      <c r="G272" s="863"/>
      <c r="H272" s="863"/>
      <c r="I272" s="863"/>
      <c r="J272" s="863"/>
      <c r="K272" s="863"/>
      <c r="L272" s="863"/>
      <c r="M272" s="863"/>
      <c r="N272" s="863"/>
      <c r="O272" s="863"/>
      <c r="P272" s="863"/>
      <c r="Q272" s="863"/>
      <c r="R272" s="863"/>
      <c r="S272" s="863"/>
      <c r="T272" s="863"/>
      <c r="U272" s="863"/>
      <c r="V272" s="863"/>
      <c r="W272" s="863"/>
      <c r="X272" s="863"/>
      <c r="Y272" s="863"/>
    </row>
    <row r="273" spans="2:25" ht="50.25" customHeight="1" x14ac:dyDescent="0.25">
      <c r="B273" s="35" t="s">
        <v>912</v>
      </c>
      <c r="C273" s="75"/>
      <c r="D273" s="821">
        <f>G205</f>
        <v>17302.25988700565</v>
      </c>
      <c r="E273" s="77"/>
      <c r="F273" s="862" t="s">
        <v>913</v>
      </c>
      <c r="G273" s="862"/>
      <c r="H273" s="862"/>
      <c r="I273" s="862"/>
      <c r="J273" s="862"/>
      <c r="K273" s="862"/>
      <c r="L273" s="862"/>
      <c r="M273" s="862"/>
      <c r="N273" s="862"/>
      <c r="O273" s="862"/>
      <c r="P273" s="862"/>
      <c r="Q273" s="862"/>
      <c r="R273" s="862"/>
      <c r="S273" s="862"/>
      <c r="T273" s="862"/>
      <c r="U273" s="862"/>
      <c r="V273" s="862"/>
      <c r="W273" s="862"/>
      <c r="X273" s="862"/>
      <c r="Y273" s="862"/>
    </row>
    <row r="274" spans="2:25" x14ac:dyDescent="0.25">
      <c r="F274" s="268"/>
    </row>
    <row r="275" spans="2:25" x14ac:dyDescent="0.25">
      <c r="F275" s="268"/>
    </row>
    <row r="276" spans="2:25" x14ac:dyDescent="0.25">
      <c r="F276" s="268"/>
    </row>
    <row r="277" spans="2:25" x14ac:dyDescent="0.25">
      <c r="F277" s="268"/>
    </row>
    <row r="278" spans="2:25" x14ac:dyDescent="0.25">
      <c r="F278" s="268"/>
    </row>
    <row r="279" spans="2:25" x14ac:dyDescent="0.25">
      <c r="F279" s="268"/>
    </row>
    <row r="280" spans="2:25" x14ac:dyDescent="0.25">
      <c r="F280" s="268"/>
    </row>
    <row r="281" spans="2:25" x14ac:dyDescent="0.25">
      <c r="F281" s="268"/>
    </row>
    <row r="282" spans="2:25" x14ac:dyDescent="0.25">
      <c r="F282" s="268"/>
    </row>
    <row r="283" spans="2:25" x14ac:dyDescent="0.25">
      <c r="F283" s="268"/>
    </row>
    <row r="284" spans="2:25" x14ac:dyDescent="0.25">
      <c r="F284" s="268"/>
    </row>
    <row r="285" spans="2:25" x14ac:dyDescent="0.25">
      <c r="F285" s="268"/>
    </row>
    <row r="286" spans="2:25" x14ac:dyDescent="0.25">
      <c r="F286" s="268"/>
    </row>
    <row r="287" spans="2:25" x14ac:dyDescent="0.25">
      <c r="F287" s="268"/>
    </row>
    <row r="288" spans="2:25" x14ac:dyDescent="0.25">
      <c r="F288" s="268"/>
    </row>
    <row r="289" spans="6:6" x14ac:dyDescent="0.25">
      <c r="F289" s="268"/>
    </row>
    <row r="290" spans="6:6" x14ac:dyDescent="0.25">
      <c r="F290" s="268"/>
    </row>
    <row r="291" spans="6:6" x14ac:dyDescent="0.25">
      <c r="F291" s="268"/>
    </row>
    <row r="292" spans="6:6" x14ac:dyDescent="0.25">
      <c r="F292" s="268"/>
    </row>
    <row r="293" spans="6:6" x14ac:dyDescent="0.25">
      <c r="F293" s="268"/>
    </row>
    <row r="294" spans="6:6" x14ac:dyDescent="0.25">
      <c r="F294" s="268"/>
    </row>
    <row r="295" spans="6:6" x14ac:dyDescent="0.25">
      <c r="F295" s="268"/>
    </row>
    <row r="296" spans="6:6" x14ac:dyDescent="0.25">
      <c r="F296" s="268"/>
    </row>
    <row r="297" spans="6:6" x14ac:dyDescent="0.25">
      <c r="F297" s="268"/>
    </row>
    <row r="298" spans="6:6" x14ac:dyDescent="0.25">
      <c r="F298" s="268"/>
    </row>
    <row r="299" spans="6:6" x14ac:dyDescent="0.25">
      <c r="F299" s="268"/>
    </row>
    <row r="300" spans="6:6" x14ac:dyDescent="0.25">
      <c r="F300" s="268"/>
    </row>
    <row r="301" spans="6:6" x14ac:dyDescent="0.25">
      <c r="F301" s="268"/>
    </row>
    <row r="302" spans="6:6" x14ac:dyDescent="0.25">
      <c r="F302" s="268"/>
    </row>
    <row r="303" spans="6:6" x14ac:dyDescent="0.25">
      <c r="F303" s="268"/>
    </row>
    <row r="304" spans="6:6" x14ac:dyDescent="0.25">
      <c r="F304" s="268"/>
    </row>
    <row r="305" spans="6:6" x14ac:dyDescent="0.25">
      <c r="F305" s="268"/>
    </row>
    <row r="306" spans="6:6" x14ac:dyDescent="0.25">
      <c r="F306" s="268"/>
    </row>
    <row r="307" spans="6:6" x14ac:dyDescent="0.25">
      <c r="F307" s="268"/>
    </row>
    <row r="308" spans="6:6" x14ac:dyDescent="0.25">
      <c r="F308" s="268"/>
    </row>
    <row r="309" spans="6:6" x14ac:dyDescent="0.25">
      <c r="F309" s="268"/>
    </row>
    <row r="310" spans="6:6" x14ac:dyDescent="0.25">
      <c r="F310" s="268"/>
    </row>
    <row r="311" spans="6:6" x14ac:dyDescent="0.25">
      <c r="F311" s="268"/>
    </row>
    <row r="312" spans="6:6" x14ac:dyDescent="0.25">
      <c r="F312" s="268"/>
    </row>
    <row r="313" spans="6:6" x14ac:dyDescent="0.25">
      <c r="F313" s="268"/>
    </row>
    <row r="314" spans="6:6" x14ac:dyDescent="0.25">
      <c r="F314" s="268"/>
    </row>
    <row r="315" spans="6:6" x14ac:dyDescent="0.25">
      <c r="F315" s="268"/>
    </row>
    <row r="316" spans="6:6" x14ac:dyDescent="0.25">
      <c r="F316" s="268"/>
    </row>
    <row r="317" spans="6:6" x14ac:dyDescent="0.25">
      <c r="F317" s="268"/>
    </row>
    <row r="318" spans="6:6" x14ac:dyDescent="0.25">
      <c r="F318" s="268"/>
    </row>
    <row r="319" spans="6:6" x14ac:dyDescent="0.25">
      <c r="F319" s="268"/>
    </row>
    <row r="320" spans="6:6" x14ac:dyDescent="0.25">
      <c r="F320" s="268"/>
    </row>
    <row r="321" spans="6:6" x14ac:dyDescent="0.25">
      <c r="F321" s="268"/>
    </row>
    <row r="322" spans="6:6" x14ac:dyDescent="0.25">
      <c r="F322" s="268"/>
    </row>
    <row r="323" spans="6:6" x14ac:dyDescent="0.25">
      <c r="F323" s="268"/>
    </row>
    <row r="324" spans="6:6" x14ac:dyDescent="0.25">
      <c r="F324" s="268"/>
    </row>
    <row r="325" spans="6:6" x14ac:dyDescent="0.25">
      <c r="F325" s="268"/>
    </row>
    <row r="326" spans="6:6" x14ac:dyDescent="0.25">
      <c r="F326" s="268"/>
    </row>
    <row r="327" spans="6:6" x14ac:dyDescent="0.25">
      <c r="F327" s="268"/>
    </row>
    <row r="328" spans="6:6" x14ac:dyDescent="0.25">
      <c r="F328" s="268"/>
    </row>
    <row r="329" spans="6:6" x14ac:dyDescent="0.25">
      <c r="F329" s="268"/>
    </row>
    <row r="330" spans="6:6" x14ac:dyDescent="0.25">
      <c r="F330" s="268"/>
    </row>
    <row r="331" spans="6:6" x14ac:dyDescent="0.25">
      <c r="F331" s="268"/>
    </row>
    <row r="332" spans="6:6" x14ac:dyDescent="0.25">
      <c r="F332" s="268"/>
    </row>
    <row r="333" spans="6:6" x14ac:dyDescent="0.25">
      <c r="F333" s="268"/>
    </row>
    <row r="334" spans="6:6" x14ac:dyDescent="0.25">
      <c r="F334" s="268"/>
    </row>
    <row r="335" spans="6:6" x14ac:dyDescent="0.25">
      <c r="F335" s="268"/>
    </row>
    <row r="336" spans="6:6" x14ac:dyDescent="0.25">
      <c r="F336" s="268"/>
    </row>
    <row r="337" spans="6:6" x14ac:dyDescent="0.25">
      <c r="F337" s="268"/>
    </row>
    <row r="338" spans="6:6" x14ac:dyDescent="0.25">
      <c r="F338" s="268"/>
    </row>
    <row r="339" spans="6:6" x14ac:dyDescent="0.25">
      <c r="F339" s="268"/>
    </row>
    <row r="340" spans="6:6" x14ac:dyDescent="0.25">
      <c r="F340" s="268"/>
    </row>
    <row r="341" spans="6:6" x14ac:dyDescent="0.25">
      <c r="F341" s="268"/>
    </row>
    <row r="342" spans="6:6" x14ac:dyDescent="0.25">
      <c r="F342" s="268"/>
    </row>
    <row r="343" spans="6:6" x14ac:dyDescent="0.25">
      <c r="F343" s="268"/>
    </row>
    <row r="344" spans="6:6" x14ac:dyDescent="0.25">
      <c r="F344" s="268"/>
    </row>
    <row r="345" spans="6:6" x14ac:dyDescent="0.25">
      <c r="F345" s="268"/>
    </row>
    <row r="346" spans="6:6" x14ac:dyDescent="0.25">
      <c r="F346" s="268"/>
    </row>
    <row r="347" spans="6:6" x14ac:dyDescent="0.25">
      <c r="F347" s="268"/>
    </row>
    <row r="348" spans="6:6" x14ac:dyDescent="0.25">
      <c r="F348" s="268"/>
    </row>
    <row r="349" spans="6:6" x14ac:dyDescent="0.25">
      <c r="F349" s="268"/>
    </row>
    <row r="350" spans="6:6" x14ac:dyDescent="0.25">
      <c r="F350" s="268"/>
    </row>
    <row r="351" spans="6:6" x14ac:dyDescent="0.25">
      <c r="F351" s="268"/>
    </row>
    <row r="352" spans="6:6" x14ac:dyDescent="0.25">
      <c r="F352" s="268"/>
    </row>
    <row r="353" spans="6:6" x14ac:dyDescent="0.25">
      <c r="F353" s="268"/>
    </row>
    <row r="354" spans="6:6" x14ac:dyDescent="0.25">
      <c r="F354" s="268"/>
    </row>
    <row r="355" spans="6:6" x14ac:dyDescent="0.25">
      <c r="F355" s="268"/>
    </row>
    <row r="356" spans="6:6" x14ac:dyDescent="0.25">
      <c r="F356" s="268"/>
    </row>
    <row r="357" spans="6:6" x14ac:dyDescent="0.25">
      <c r="F357" s="268"/>
    </row>
    <row r="358" spans="6:6" x14ac:dyDescent="0.25">
      <c r="F358" s="268"/>
    </row>
    <row r="359" spans="6:6" x14ac:dyDescent="0.25">
      <c r="F359" s="268"/>
    </row>
    <row r="360" spans="6:6" x14ac:dyDescent="0.25">
      <c r="F360" s="268"/>
    </row>
    <row r="361" spans="6:6" x14ac:dyDescent="0.25">
      <c r="F361" s="268"/>
    </row>
    <row r="362" spans="6:6" x14ac:dyDescent="0.25">
      <c r="F362" s="268"/>
    </row>
    <row r="363" spans="6:6" x14ac:dyDescent="0.25">
      <c r="F363" s="268"/>
    </row>
    <row r="364" spans="6:6" x14ac:dyDescent="0.25">
      <c r="F364" s="268"/>
    </row>
    <row r="365" spans="6:6" x14ac:dyDescent="0.25">
      <c r="F365" s="268"/>
    </row>
    <row r="366" spans="6:6" x14ac:dyDescent="0.25">
      <c r="F366" s="268"/>
    </row>
    <row r="367" spans="6:6" x14ac:dyDescent="0.25">
      <c r="F367" s="268"/>
    </row>
    <row r="368" spans="6:6" x14ac:dyDescent="0.25">
      <c r="F368" s="268"/>
    </row>
    <row r="369" spans="6:6" x14ac:dyDescent="0.25">
      <c r="F369" s="268"/>
    </row>
    <row r="370" spans="6:6" x14ac:dyDescent="0.25">
      <c r="F370" s="268"/>
    </row>
    <row r="371" spans="6:6" x14ac:dyDescent="0.25">
      <c r="F371" s="268"/>
    </row>
    <row r="372" spans="6:6" x14ac:dyDescent="0.25">
      <c r="F372" s="268"/>
    </row>
    <row r="373" spans="6:6" x14ac:dyDescent="0.25">
      <c r="F373" s="268"/>
    </row>
    <row r="374" spans="6:6" x14ac:dyDescent="0.25">
      <c r="F374" s="268"/>
    </row>
    <row r="375" spans="6:6" x14ac:dyDescent="0.25">
      <c r="F375" s="268"/>
    </row>
    <row r="376" spans="6:6" x14ac:dyDescent="0.25">
      <c r="F376" s="268"/>
    </row>
    <row r="377" spans="6:6" x14ac:dyDescent="0.25">
      <c r="F377" s="268"/>
    </row>
    <row r="378" spans="6:6" x14ac:dyDescent="0.25">
      <c r="F378" s="268"/>
    </row>
    <row r="379" spans="6:6" x14ac:dyDescent="0.25">
      <c r="F379" s="268"/>
    </row>
    <row r="380" spans="6:6" x14ac:dyDescent="0.25">
      <c r="F380" s="268"/>
    </row>
    <row r="381" spans="6:6" x14ac:dyDescent="0.25">
      <c r="F381" s="268"/>
    </row>
    <row r="382" spans="6:6" x14ac:dyDescent="0.25">
      <c r="F382" s="268"/>
    </row>
    <row r="383" spans="6:6" x14ac:dyDescent="0.25">
      <c r="F383" s="268"/>
    </row>
    <row r="384" spans="6:6" x14ac:dyDescent="0.25">
      <c r="F384" s="268"/>
    </row>
    <row r="385" spans="6:6" x14ac:dyDescent="0.25">
      <c r="F385" s="268"/>
    </row>
    <row r="386" spans="6:6" x14ac:dyDescent="0.25">
      <c r="F386" s="268"/>
    </row>
    <row r="387" spans="6:6" x14ac:dyDescent="0.25">
      <c r="F387" s="268"/>
    </row>
    <row r="388" spans="6:6" x14ac:dyDescent="0.25">
      <c r="F388" s="268"/>
    </row>
    <row r="389" spans="6:6" x14ac:dyDescent="0.25">
      <c r="F389" s="268"/>
    </row>
    <row r="390" spans="6:6" x14ac:dyDescent="0.25">
      <c r="F390" s="268"/>
    </row>
    <row r="391" spans="6:6" x14ac:dyDescent="0.25">
      <c r="F391" s="268"/>
    </row>
    <row r="392" spans="6:6" x14ac:dyDescent="0.25">
      <c r="F392" s="268"/>
    </row>
    <row r="393" spans="6:6" x14ac:dyDescent="0.25">
      <c r="F393" s="268"/>
    </row>
    <row r="394" spans="6:6" x14ac:dyDescent="0.25">
      <c r="F394" s="268"/>
    </row>
    <row r="395" spans="6:6" x14ac:dyDescent="0.25">
      <c r="F395" s="268"/>
    </row>
    <row r="396" spans="6:6" x14ac:dyDescent="0.25">
      <c r="F396" s="268"/>
    </row>
    <row r="397" spans="6:6" x14ac:dyDescent="0.25">
      <c r="F397" s="268"/>
    </row>
    <row r="398" spans="6:6" x14ac:dyDescent="0.25">
      <c r="F398" s="268"/>
    </row>
    <row r="399" spans="6:6" x14ac:dyDescent="0.25">
      <c r="F399" s="268"/>
    </row>
    <row r="400" spans="6:6" x14ac:dyDescent="0.25">
      <c r="F400" s="268"/>
    </row>
    <row r="401" spans="6:6" x14ac:dyDescent="0.25">
      <c r="F401" s="268"/>
    </row>
    <row r="402" spans="6:6" x14ac:dyDescent="0.25">
      <c r="F402" s="268"/>
    </row>
    <row r="403" spans="6:6" x14ac:dyDescent="0.25">
      <c r="F403" s="268"/>
    </row>
    <row r="404" spans="6:6" x14ac:dyDescent="0.25">
      <c r="F404" s="268"/>
    </row>
    <row r="405" spans="6:6" x14ac:dyDescent="0.25">
      <c r="F405" s="268"/>
    </row>
    <row r="406" spans="6:6" x14ac:dyDescent="0.25">
      <c r="F406" s="268"/>
    </row>
    <row r="407" spans="6:6" x14ac:dyDescent="0.25">
      <c r="F407" s="268"/>
    </row>
    <row r="408" spans="6:6" x14ac:dyDescent="0.25">
      <c r="F408" s="268"/>
    </row>
    <row r="409" spans="6:6" x14ac:dyDescent="0.25">
      <c r="F409" s="268"/>
    </row>
    <row r="410" spans="6:6" x14ac:dyDescent="0.25">
      <c r="F410" s="268"/>
    </row>
    <row r="411" spans="6:6" x14ac:dyDescent="0.25">
      <c r="F411" s="268"/>
    </row>
    <row r="412" spans="6:6" x14ac:dyDescent="0.25">
      <c r="F412" s="268"/>
    </row>
    <row r="413" spans="6:6" x14ac:dyDescent="0.25">
      <c r="F413" s="268"/>
    </row>
    <row r="414" spans="6:6" x14ac:dyDescent="0.25">
      <c r="F414" s="268"/>
    </row>
    <row r="415" spans="6:6" x14ac:dyDescent="0.25">
      <c r="F415" s="268"/>
    </row>
    <row r="416" spans="6:6" x14ac:dyDescent="0.25">
      <c r="F416" s="268"/>
    </row>
    <row r="417" spans="6:6" x14ac:dyDescent="0.25">
      <c r="F417" s="268"/>
    </row>
    <row r="418" spans="6:6" x14ac:dyDescent="0.25">
      <c r="F418" s="268"/>
    </row>
    <row r="419" spans="6:6" x14ac:dyDescent="0.25">
      <c r="F419" s="268"/>
    </row>
    <row r="420" spans="6:6" x14ac:dyDescent="0.25">
      <c r="F420" s="268"/>
    </row>
    <row r="421" spans="6:6" x14ac:dyDescent="0.25">
      <c r="F421" s="268"/>
    </row>
    <row r="422" spans="6:6" x14ac:dyDescent="0.25">
      <c r="F422" s="268"/>
    </row>
    <row r="423" spans="6:6" x14ac:dyDescent="0.25">
      <c r="F423" s="268"/>
    </row>
    <row r="424" spans="6:6" x14ac:dyDescent="0.25">
      <c r="F424" s="268"/>
    </row>
    <row r="425" spans="6:6" x14ac:dyDescent="0.25">
      <c r="F425" s="268"/>
    </row>
    <row r="426" spans="6:6" x14ac:dyDescent="0.25">
      <c r="F426" s="268"/>
    </row>
    <row r="427" spans="6:6" x14ac:dyDescent="0.25">
      <c r="F427" s="268"/>
    </row>
    <row r="428" spans="6:6" x14ac:dyDescent="0.25">
      <c r="F428" s="268"/>
    </row>
    <row r="429" spans="6:6" x14ac:dyDescent="0.25">
      <c r="F429" s="268"/>
    </row>
    <row r="430" spans="6:6" x14ac:dyDescent="0.25">
      <c r="F430" s="268"/>
    </row>
    <row r="431" spans="6:6" x14ac:dyDescent="0.25">
      <c r="F431" s="268"/>
    </row>
    <row r="432" spans="6:6" x14ac:dyDescent="0.25">
      <c r="F432" s="268"/>
    </row>
    <row r="433" spans="6:6" x14ac:dyDescent="0.25">
      <c r="F433" s="268"/>
    </row>
    <row r="434" spans="6:6" x14ac:dyDescent="0.25">
      <c r="F434" s="268"/>
    </row>
    <row r="435" spans="6:6" x14ac:dyDescent="0.25">
      <c r="F435" s="268"/>
    </row>
    <row r="436" spans="6:6" x14ac:dyDescent="0.25">
      <c r="F436" s="268"/>
    </row>
    <row r="437" spans="6:6" x14ac:dyDescent="0.25">
      <c r="F437" s="268"/>
    </row>
    <row r="438" spans="6:6" x14ac:dyDescent="0.25">
      <c r="F438" s="268"/>
    </row>
    <row r="439" spans="6:6" x14ac:dyDescent="0.25">
      <c r="F439" s="268"/>
    </row>
    <row r="440" spans="6:6" x14ac:dyDescent="0.25">
      <c r="F440" s="268"/>
    </row>
    <row r="441" spans="6:6" x14ac:dyDescent="0.25">
      <c r="F441" s="268"/>
    </row>
    <row r="442" spans="6:6" x14ac:dyDescent="0.25">
      <c r="F442" s="268"/>
    </row>
    <row r="443" spans="6:6" x14ac:dyDescent="0.25">
      <c r="F443" s="268"/>
    </row>
    <row r="444" spans="6:6" x14ac:dyDescent="0.25">
      <c r="F444" s="268"/>
    </row>
    <row r="445" spans="6:6" x14ac:dyDescent="0.25">
      <c r="F445" s="268"/>
    </row>
    <row r="446" spans="6:6" x14ac:dyDescent="0.25">
      <c r="F446" s="268"/>
    </row>
    <row r="447" spans="6:6" x14ac:dyDescent="0.25">
      <c r="F447" s="268"/>
    </row>
    <row r="448" spans="6:6" x14ac:dyDescent="0.25">
      <c r="F448" s="268"/>
    </row>
    <row r="449" spans="6:6" x14ac:dyDescent="0.25">
      <c r="F449" s="268"/>
    </row>
    <row r="450" spans="6:6" x14ac:dyDescent="0.25">
      <c r="F450" s="268"/>
    </row>
    <row r="451" spans="6:6" x14ac:dyDescent="0.25">
      <c r="F451" s="268"/>
    </row>
    <row r="452" spans="6:6" x14ac:dyDescent="0.25">
      <c r="F452" s="268"/>
    </row>
    <row r="453" spans="6:6" x14ac:dyDescent="0.25">
      <c r="F453" s="268"/>
    </row>
    <row r="454" spans="6:6" x14ac:dyDescent="0.25">
      <c r="F454" s="268"/>
    </row>
    <row r="455" spans="6:6" x14ac:dyDescent="0.25">
      <c r="F455" s="268"/>
    </row>
    <row r="456" spans="6:6" x14ac:dyDescent="0.25">
      <c r="F456" s="268"/>
    </row>
    <row r="457" spans="6:6" x14ac:dyDescent="0.25">
      <c r="F457" s="268"/>
    </row>
    <row r="458" spans="6:6" x14ac:dyDescent="0.25">
      <c r="F458" s="268"/>
    </row>
    <row r="459" spans="6:6" x14ac:dyDescent="0.25">
      <c r="F459" s="268"/>
    </row>
    <row r="460" spans="6:6" x14ac:dyDescent="0.25">
      <c r="F460" s="268"/>
    </row>
    <row r="461" spans="6:6" x14ac:dyDescent="0.25">
      <c r="F461" s="268"/>
    </row>
    <row r="462" spans="6:6" x14ac:dyDescent="0.25">
      <c r="F462" s="268"/>
    </row>
    <row r="463" spans="6:6" x14ac:dyDescent="0.25">
      <c r="F463" s="268"/>
    </row>
    <row r="464" spans="6:6" x14ac:dyDescent="0.25">
      <c r="F464" s="268"/>
    </row>
    <row r="465" spans="6:6" x14ac:dyDescent="0.25">
      <c r="F465" s="268"/>
    </row>
    <row r="466" spans="6:6" x14ac:dyDescent="0.25">
      <c r="F466" s="268"/>
    </row>
    <row r="467" spans="6:6" x14ac:dyDescent="0.25">
      <c r="F467" s="268"/>
    </row>
    <row r="468" spans="6:6" x14ac:dyDescent="0.25">
      <c r="F468" s="268"/>
    </row>
    <row r="469" spans="6:6" x14ac:dyDescent="0.25">
      <c r="F469" s="268"/>
    </row>
    <row r="470" spans="6:6" x14ac:dyDescent="0.25">
      <c r="F470" s="268"/>
    </row>
    <row r="471" spans="6:6" x14ac:dyDescent="0.25">
      <c r="F471" s="268"/>
    </row>
    <row r="472" spans="6:6" x14ac:dyDescent="0.25">
      <c r="F472" s="268"/>
    </row>
    <row r="473" spans="6:6" x14ac:dyDescent="0.25">
      <c r="F473" s="268"/>
    </row>
    <row r="474" spans="6:6" x14ac:dyDescent="0.25">
      <c r="F474" s="268"/>
    </row>
    <row r="475" spans="6:6" x14ac:dyDescent="0.25">
      <c r="F475" s="268"/>
    </row>
    <row r="476" spans="6:6" x14ac:dyDescent="0.25">
      <c r="F476" s="268"/>
    </row>
    <row r="477" spans="6:6" x14ac:dyDescent="0.25">
      <c r="F477" s="268"/>
    </row>
    <row r="478" spans="6:6" x14ac:dyDescent="0.25">
      <c r="F478" s="268"/>
    </row>
    <row r="479" spans="6:6" x14ac:dyDescent="0.25">
      <c r="F479" s="268"/>
    </row>
    <row r="480" spans="6:6" x14ac:dyDescent="0.25">
      <c r="F480" s="268"/>
    </row>
    <row r="481" spans="6:6" x14ac:dyDescent="0.25">
      <c r="F481" s="268"/>
    </row>
    <row r="482" spans="6:6" x14ac:dyDescent="0.25">
      <c r="F482" s="268"/>
    </row>
    <row r="483" spans="6:6" x14ac:dyDescent="0.25">
      <c r="F483" s="268"/>
    </row>
    <row r="484" spans="6:6" x14ac:dyDescent="0.25">
      <c r="F484" s="268"/>
    </row>
    <row r="485" spans="6:6" x14ac:dyDescent="0.25">
      <c r="F485" s="268"/>
    </row>
    <row r="486" spans="6:6" x14ac:dyDescent="0.25">
      <c r="F486" s="268"/>
    </row>
    <row r="487" spans="6:6" x14ac:dyDescent="0.25">
      <c r="F487" s="268"/>
    </row>
    <row r="488" spans="6:6" x14ac:dyDescent="0.25">
      <c r="F488" s="268"/>
    </row>
    <row r="489" spans="6:6" x14ac:dyDescent="0.25">
      <c r="F489" s="268"/>
    </row>
    <row r="490" spans="6:6" x14ac:dyDescent="0.25">
      <c r="F490" s="268"/>
    </row>
    <row r="491" spans="6:6" x14ac:dyDescent="0.25">
      <c r="F491" s="268"/>
    </row>
    <row r="492" spans="6:6" x14ac:dyDescent="0.25">
      <c r="F492" s="268"/>
    </row>
    <row r="493" spans="6:6" x14ac:dyDescent="0.25">
      <c r="F493" s="268"/>
    </row>
    <row r="494" spans="6:6" x14ac:dyDescent="0.25">
      <c r="F494" s="268"/>
    </row>
    <row r="495" spans="6:6" x14ac:dyDescent="0.25">
      <c r="F495" s="268"/>
    </row>
    <row r="496" spans="6:6" x14ac:dyDescent="0.25">
      <c r="F496" s="268"/>
    </row>
    <row r="497" spans="6:6" x14ac:dyDescent="0.25">
      <c r="F497" s="268"/>
    </row>
    <row r="498" spans="6:6" x14ac:dyDescent="0.25">
      <c r="F498" s="268"/>
    </row>
    <row r="499" spans="6:6" x14ac:dyDescent="0.25">
      <c r="F499" s="268"/>
    </row>
    <row r="500" spans="6:6" x14ac:dyDescent="0.25">
      <c r="F500" s="268"/>
    </row>
    <row r="501" spans="6:6" x14ac:dyDescent="0.25">
      <c r="F501" s="268"/>
    </row>
    <row r="502" spans="6:6" x14ac:dyDescent="0.25">
      <c r="F502" s="268"/>
    </row>
    <row r="503" spans="6:6" x14ac:dyDescent="0.25">
      <c r="F503" s="268"/>
    </row>
    <row r="504" spans="6:6" x14ac:dyDescent="0.25">
      <c r="F504" s="268"/>
    </row>
    <row r="505" spans="6:6" x14ac:dyDescent="0.25">
      <c r="F505" s="268"/>
    </row>
    <row r="506" spans="6:6" x14ac:dyDescent="0.25">
      <c r="F506" s="268"/>
    </row>
    <row r="507" spans="6:6" x14ac:dyDescent="0.25">
      <c r="F507" s="268"/>
    </row>
    <row r="508" spans="6:6" x14ac:dyDescent="0.25">
      <c r="F508" s="268"/>
    </row>
    <row r="509" spans="6:6" x14ac:dyDescent="0.25">
      <c r="F509" s="268"/>
    </row>
    <row r="510" spans="6:6" x14ac:dyDescent="0.25">
      <c r="F510" s="268"/>
    </row>
    <row r="511" spans="6:6" x14ac:dyDescent="0.25">
      <c r="F511" s="268"/>
    </row>
    <row r="512" spans="6:6" x14ac:dyDescent="0.25">
      <c r="F512" s="268"/>
    </row>
    <row r="513" spans="6:6" x14ac:dyDescent="0.25">
      <c r="F513" s="268"/>
    </row>
    <row r="514" spans="6:6" x14ac:dyDescent="0.25">
      <c r="F514" s="268"/>
    </row>
    <row r="515" spans="6:6" x14ac:dyDescent="0.25">
      <c r="F515" s="268"/>
    </row>
    <row r="516" spans="6:6" x14ac:dyDescent="0.25">
      <c r="F516" s="268"/>
    </row>
    <row r="517" spans="6:6" x14ac:dyDescent="0.25">
      <c r="F517" s="268"/>
    </row>
    <row r="518" spans="6:6" x14ac:dyDescent="0.25">
      <c r="F518" s="268"/>
    </row>
    <row r="519" spans="6:6" x14ac:dyDescent="0.25">
      <c r="F519" s="268"/>
    </row>
    <row r="520" spans="6:6" x14ac:dyDescent="0.25">
      <c r="F520" s="268"/>
    </row>
    <row r="521" spans="6:6" x14ac:dyDescent="0.25">
      <c r="F521" s="268"/>
    </row>
    <row r="522" spans="6:6" x14ac:dyDescent="0.25">
      <c r="F522" s="268"/>
    </row>
    <row r="523" spans="6:6" x14ac:dyDescent="0.25">
      <c r="F523" s="268"/>
    </row>
    <row r="524" spans="6:6" x14ac:dyDescent="0.25">
      <c r="F524" s="268"/>
    </row>
    <row r="525" spans="6:6" x14ac:dyDescent="0.25">
      <c r="F525" s="268"/>
    </row>
    <row r="526" spans="6:6" x14ac:dyDescent="0.25">
      <c r="F526" s="268"/>
    </row>
    <row r="527" spans="6:6" x14ac:dyDescent="0.25">
      <c r="F527" s="268"/>
    </row>
    <row r="528" spans="6:6" x14ac:dyDescent="0.25">
      <c r="F528" s="268"/>
    </row>
    <row r="529" spans="6:6" x14ac:dyDescent="0.25">
      <c r="F529" s="268"/>
    </row>
    <row r="530" spans="6:6" x14ac:dyDescent="0.25">
      <c r="F530" s="268"/>
    </row>
    <row r="531" spans="6:6" x14ac:dyDescent="0.25">
      <c r="F531" s="268"/>
    </row>
    <row r="532" spans="6:6" x14ac:dyDescent="0.25">
      <c r="F532" s="268"/>
    </row>
    <row r="533" spans="6:6" x14ac:dyDescent="0.25">
      <c r="F533" s="268"/>
    </row>
    <row r="534" spans="6:6" x14ac:dyDescent="0.25">
      <c r="F534" s="268"/>
    </row>
    <row r="535" spans="6:6" x14ac:dyDescent="0.25">
      <c r="F535" s="268"/>
    </row>
    <row r="536" spans="6:6" x14ac:dyDescent="0.25">
      <c r="F536" s="268"/>
    </row>
    <row r="537" spans="6:6" x14ac:dyDescent="0.25">
      <c r="F537" s="268"/>
    </row>
    <row r="538" spans="6:6" x14ac:dyDescent="0.25">
      <c r="F538" s="268"/>
    </row>
    <row r="539" spans="6:6" x14ac:dyDescent="0.25">
      <c r="F539" s="268"/>
    </row>
    <row r="540" spans="6:6" x14ac:dyDescent="0.25">
      <c r="F540" s="268"/>
    </row>
    <row r="541" spans="6:6" x14ac:dyDescent="0.25">
      <c r="F541" s="268"/>
    </row>
    <row r="542" spans="6:6" x14ac:dyDescent="0.25">
      <c r="F542" s="268"/>
    </row>
    <row r="543" spans="6:6" x14ac:dyDescent="0.25">
      <c r="F543" s="268"/>
    </row>
    <row r="544" spans="6:6" x14ac:dyDescent="0.25">
      <c r="F544" s="268"/>
    </row>
    <row r="545" spans="6:6" x14ac:dyDescent="0.25">
      <c r="F545" s="268"/>
    </row>
    <row r="546" spans="6:6" x14ac:dyDescent="0.25">
      <c r="F546" s="268"/>
    </row>
    <row r="547" spans="6:6" x14ac:dyDescent="0.25">
      <c r="F547" s="268"/>
    </row>
    <row r="548" spans="6:6" x14ac:dyDescent="0.25">
      <c r="F548" s="268"/>
    </row>
    <row r="549" spans="6:6" x14ac:dyDescent="0.25">
      <c r="F549" s="268"/>
    </row>
    <row r="550" spans="6:6" x14ac:dyDescent="0.25">
      <c r="F550" s="268"/>
    </row>
    <row r="551" spans="6:6" x14ac:dyDescent="0.25">
      <c r="F551" s="268"/>
    </row>
    <row r="552" spans="6:6" x14ac:dyDescent="0.25">
      <c r="F552" s="268"/>
    </row>
    <row r="553" spans="6:6" x14ac:dyDescent="0.25">
      <c r="F553" s="268"/>
    </row>
    <row r="554" spans="6:6" x14ac:dyDescent="0.25">
      <c r="F554" s="268"/>
    </row>
    <row r="555" spans="6:6" x14ac:dyDescent="0.25">
      <c r="F555" s="268"/>
    </row>
    <row r="556" spans="6:6" x14ac:dyDescent="0.25">
      <c r="F556" s="268"/>
    </row>
    <row r="557" spans="6:6" x14ac:dyDescent="0.25">
      <c r="F557" s="268"/>
    </row>
    <row r="558" spans="6:6" x14ac:dyDescent="0.25">
      <c r="F558" s="268"/>
    </row>
    <row r="559" spans="6:6" x14ac:dyDescent="0.25">
      <c r="F559" s="268"/>
    </row>
    <row r="560" spans="6:6" x14ac:dyDescent="0.25">
      <c r="F560" s="268"/>
    </row>
    <row r="561" spans="6:6" x14ac:dyDescent="0.25">
      <c r="F561" s="268"/>
    </row>
    <row r="562" spans="6:6" x14ac:dyDescent="0.25">
      <c r="F562" s="268"/>
    </row>
    <row r="563" spans="6:6" x14ac:dyDescent="0.25">
      <c r="F563" s="268"/>
    </row>
    <row r="564" spans="6:6" x14ac:dyDescent="0.25">
      <c r="F564" s="268"/>
    </row>
    <row r="565" spans="6:6" x14ac:dyDescent="0.25">
      <c r="F565" s="268"/>
    </row>
    <row r="566" spans="6:6" x14ac:dyDescent="0.25">
      <c r="F566" s="268"/>
    </row>
    <row r="567" spans="6:6" x14ac:dyDescent="0.25">
      <c r="F567" s="268"/>
    </row>
    <row r="568" spans="6:6" x14ac:dyDescent="0.25">
      <c r="F568" s="268"/>
    </row>
    <row r="569" spans="6:6" x14ac:dyDescent="0.25">
      <c r="F569" s="268"/>
    </row>
    <row r="570" spans="6:6" x14ac:dyDescent="0.25">
      <c r="F570" s="268"/>
    </row>
    <row r="571" spans="6:6" x14ac:dyDescent="0.25">
      <c r="F571" s="268"/>
    </row>
    <row r="572" spans="6:6" x14ac:dyDescent="0.25">
      <c r="F572" s="268"/>
    </row>
    <row r="573" spans="6:6" x14ac:dyDescent="0.25">
      <c r="F573" s="268"/>
    </row>
    <row r="574" spans="6:6" x14ac:dyDescent="0.25">
      <c r="F574" s="268"/>
    </row>
    <row r="575" spans="6:6" x14ac:dyDescent="0.25">
      <c r="F575" s="268"/>
    </row>
    <row r="576" spans="6:6" x14ac:dyDescent="0.25">
      <c r="F576" s="268"/>
    </row>
    <row r="577" spans="6:6" x14ac:dyDescent="0.25">
      <c r="F577" s="268"/>
    </row>
    <row r="578" spans="6:6" x14ac:dyDescent="0.25">
      <c r="F578" s="268"/>
    </row>
    <row r="579" spans="6:6" x14ac:dyDescent="0.25">
      <c r="F579" s="268"/>
    </row>
    <row r="580" spans="6:6" x14ac:dyDescent="0.25">
      <c r="F580" s="268"/>
    </row>
    <row r="581" spans="6:6" x14ac:dyDescent="0.25">
      <c r="F581" s="268"/>
    </row>
    <row r="582" spans="6:6" x14ac:dyDescent="0.25">
      <c r="F582" s="268"/>
    </row>
    <row r="583" spans="6:6" x14ac:dyDescent="0.25">
      <c r="F583" s="268"/>
    </row>
    <row r="584" spans="6:6" x14ac:dyDescent="0.25">
      <c r="F584" s="268"/>
    </row>
    <row r="585" spans="6:6" x14ac:dyDescent="0.25">
      <c r="F585" s="268"/>
    </row>
    <row r="586" spans="6:6" x14ac:dyDescent="0.25">
      <c r="F586" s="268"/>
    </row>
    <row r="587" spans="6:6" x14ac:dyDescent="0.25">
      <c r="F587" s="268"/>
    </row>
    <row r="588" spans="6:6" x14ac:dyDescent="0.25">
      <c r="F588" s="268"/>
    </row>
    <row r="589" spans="6:6" x14ac:dyDescent="0.25">
      <c r="F589" s="268"/>
    </row>
    <row r="590" spans="6:6" x14ac:dyDescent="0.25">
      <c r="F590" s="268"/>
    </row>
    <row r="591" spans="6:6" x14ac:dyDescent="0.25">
      <c r="F591" s="268"/>
    </row>
    <row r="592" spans="6:6" x14ac:dyDescent="0.25">
      <c r="F592" s="268"/>
    </row>
    <row r="593" spans="6:6" x14ac:dyDescent="0.25">
      <c r="F593" s="268"/>
    </row>
    <row r="594" spans="6:6" x14ac:dyDescent="0.25">
      <c r="F594" s="268"/>
    </row>
    <row r="595" spans="6:6" x14ac:dyDescent="0.25">
      <c r="F595" s="268"/>
    </row>
    <row r="596" spans="6:6" x14ac:dyDescent="0.25">
      <c r="F596" s="268"/>
    </row>
    <row r="597" spans="6:6" x14ac:dyDescent="0.25">
      <c r="F597" s="268"/>
    </row>
    <row r="598" spans="6:6" x14ac:dyDescent="0.25">
      <c r="F598" s="268"/>
    </row>
    <row r="599" spans="6:6" x14ac:dyDescent="0.25">
      <c r="F599" s="268"/>
    </row>
    <row r="600" spans="6:6" x14ac:dyDescent="0.25">
      <c r="F600" s="268"/>
    </row>
    <row r="601" spans="6:6" x14ac:dyDescent="0.25">
      <c r="F601" s="268"/>
    </row>
    <row r="602" spans="6:6" x14ac:dyDescent="0.25">
      <c r="F602" s="268"/>
    </row>
    <row r="603" spans="6:6" x14ac:dyDescent="0.25">
      <c r="F603" s="268"/>
    </row>
    <row r="604" spans="6:6" x14ac:dyDescent="0.25">
      <c r="F604" s="268"/>
    </row>
    <row r="605" spans="6:6" x14ac:dyDescent="0.25">
      <c r="F605" s="268"/>
    </row>
    <row r="606" spans="6:6" x14ac:dyDescent="0.25">
      <c r="F606" s="268"/>
    </row>
    <row r="607" spans="6:6" x14ac:dyDescent="0.25">
      <c r="F607" s="268"/>
    </row>
    <row r="608" spans="6:6" x14ac:dyDescent="0.25">
      <c r="F608" s="268"/>
    </row>
    <row r="609" spans="6:6" x14ac:dyDescent="0.25">
      <c r="F609" s="268"/>
    </row>
    <row r="610" spans="6:6" x14ac:dyDescent="0.25">
      <c r="F610" s="268"/>
    </row>
    <row r="611" spans="6:6" x14ac:dyDescent="0.25">
      <c r="F611" s="268"/>
    </row>
    <row r="612" spans="6:6" x14ac:dyDescent="0.25">
      <c r="F612" s="268"/>
    </row>
    <row r="613" spans="6:6" x14ac:dyDescent="0.25">
      <c r="F613" s="268"/>
    </row>
    <row r="614" spans="6:6" x14ac:dyDescent="0.25">
      <c r="F614" s="268"/>
    </row>
    <row r="615" spans="6:6" x14ac:dyDescent="0.25">
      <c r="F615" s="268"/>
    </row>
    <row r="616" spans="6:6" x14ac:dyDescent="0.25">
      <c r="F616" s="268"/>
    </row>
    <row r="617" spans="6:6" x14ac:dyDescent="0.25">
      <c r="F617" s="268"/>
    </row>
    <row r="618" spans="6:6" x14ac:dyDescent="0.25">
      <c r="F618" s="268"/>
    </row>
    <row r="619" spans="6:6" x14ac:dyDescent="0.25">
      <c r="F619" s="268"/>
    </row>
    <row r="620" spans="6:6" x14ac:dyDescent="0.25">
      <c r="F620" s="268"/>
    </row>
    <row r="621" spans="6:6" x14ac:dyDescent="0.25">
      <c r="F621" s="268"/>
    </row>
    <row r="622" spans="6:6" x14ac:dyDescent="0.25">
      <c r="F622" s="268"/>
    </row>
    <row r="623" spans="6:6" x14ac:dyDescent="0.25">
      <c r="F623" s="268"/>
    </row>
    <row r="624" spans="6:6" x14ac:dyDescent="0.25">
      <c r="F624" s="268"/>
    </row>
    <row r="625" spans="6:6" x14ac:dyDescent="0.25">
      <c r="F625" s="268"/>
    </row>
    <row r="626" spans="6:6" x14ac:dyDescent="0.25">
      <c r="F626" s="268"/>
    </row>
    <row r="627" spans="6:6" x14ac:dyDescent="0.25">
      <c r="F627" s="268"/>
    </row>
    <row r="628" spans="6:6" x14ac:dyDescent="0.25">
      <c r="F628" s="268"/>
    </row>
    <row r="629" spans="6:6" x14ac:dyDescent="0.25">
      <c r="F629" s="268"/>
    </row>
    <row r="630" spans="6:6" x14ac:dyDescent="0.25">
      <c r="F630" s="268"/>
    </row>
    <row r="631" spans="6:6" x14ac:dyDescent="0.25">
      <c r="F631" s="268"/>
    </row>
    <row r="632" spans="6:6" x14ac:dyDescent="0.25">
      <c r="F632" s="268"/>
    </row>
    <row r="633" spans="6:6" x14ac:dyDescent="0.25">
      <c r="F633" s="268"/>
    </row>
    <row r="634" spans="6:6" x14ac:dyDescent="0.25">
      <c r="F634" s="268"/>
    </row>
    <row r="635" spans="6:6" x14ac:dyDescent="0.25">
      <c r="F635" s="268"/>
    </row>
    <row r="636" spans="6:6" x14ac:dyDescent="0.25">
      <c r="F636" s="268"/>
    </row>
    <row r="637" spans="6:6" x14ac:dyDescent="0.25">
      <c r="F637" s="268"/>
    </row>
    <row r="638" spans="6:6" x14ac:dyDescent="0.25">
      <c r="F638" s="268"/>
    </row>
    <row r="639" spans="6:6" x14ac:dyDescent="0.25">
      <c r="F639" s="268"/>
    </row>
    <row r="640" spans="6:6" x14ac:dyDescent="0.25">
      <c r="F640" s="268"/>
    </row>
    <row r="641" spans="6:6" x14ac:dyDescent="0.25">
      <c r="F641" s="268"/>
    </row>
    <row r="642" spans="6:6" x14ac:dyDescent="0.25">
      <c r="F642" s="268"/>
    </row>
    <row r="643" spans="6:6" x14ac:dyDescent="0.25">
      <c r="F643" s="268"/>
    </row>
    <row r="644" spans="6:6" x14ac:dyDescent="0.25">
      <c r="F644" s="268"/>
    </row>
    <row r="645" spans="6:6" x14ac:dyDescent="0.25">
      <c r="F645" s="268"/>
    </row>
    <row r="646" spans="6:6" x14ac:dyDescent="0.25">
      <c r="F646" s="268"/>
    </row>
    <row r="647" spans="6:6" x14ac:dyDescent="0.25">
      <c r="F647" s="268"/>
    </row>
    <row r="648" spans="6:6" x14ac:dyDescent="0.25">
      <c r="F648" s="268"/>
    </row>
    <row r="649" spans="6:6" x14ac:dyDescent="0.25">
      <c r="F649" s="268"/>
    </row>
    <row r="650" spans="6:6" x14ac:dyDescent="0.25">
      <c r="F650" s="268"/>
    </row>
    <row r="651" spans="6:6" x14ac:dyDescent="0.25">
      <c r="F651" s="268"/>
    </row>
    <row r="652" spans="6:6" x14ac:dyDescent="0.25">
      <c r="F652" s="268"/>
    </row>
    <row r="653" spans="6:6" x14ac:dyDescent="0.25">
      <c r="F653" s="268"/>
    </row>
    <row r="654" spans="6:6" x14ac:dyDescent="0.25">
      <c r="F654" s="268"/>
    </row>
    <row r="655" spans="6:6" x14ac:dyDescent="0.25">
      <c r="F655" s="268"/>
    </row>
    <row r="656" spans="6:6" x14ac:dyDescent="0.25">
      <c r="F656" s="268"/>
    </row>
    <row r="657" spans="6:6" x14ac:dyDescent="0.25">
      <c r="F657" s="268"/>
    </row>
    <row r="658" spans="6:6" x14ac:dyDescent="0.25">
      <c r="F658" s="268"/>
    </row>
    <row r="659" spans="6:6" x14ac:dyDescent="0.25">
      <c r="F659" s="268"/>
    </row>
    <row r="660" spans="6:6" x14ac:dyDescent="0.25">
      <c r="F660" s="268"/>
    </row>
    <row r="661" spans="6:6" x14ac:dyDescent="0.25">
      <c r="F661" s="268"/>
    </row>
    <row r="662" spans="6:6" x14ac:dyDescent="0.25">
      <c r="F662" s="268"/>
    </row>
    <row r="663" spans="6:6" x14ac:dyDescent="0.25">
      <c r="F663" s="268"/>
    </row>
    <row r="664" spans="6:6" x14ac:dyDescent="0.25">
      <c r="F664" s="268"/>
    </row>
    <row r="665" spans="6:6" x14ac:dyDescent="0.25">
      <c r="F665" s="268"/>
    </row>
    <row r="666" spans="6:6" x14ac:dyDescent="0.25">
      <c r="F666" s="268"/>
    </row>
    <row r="667" spans="6:6" x14ac:dyDescent="0.25">
      <c r="F667" s="268"/>
    </row>
    <row r="668" spans="6:6" x14ac:dyDescent="0.25">
      <c r="F668" s="268"/>
    </row>
    <row r="669" spans="6:6" x14ac:dyDescent="0.25">
      <c r="F669" s="268"/>
    </row>
    <row r="670" spans="6:6" x14ac:dyDescent="0.25">
      <c r="F670" s="268"/>
    </row>
    <row r="671" spans="6:6" x14ac:dyDescent="0.25">
      <c r="F671" s="268"/>
    </row>
    <row r="672" spans="6:6" x14ac:dyDescent="0.25">
      <c r="F672" s="268"/>
    </row>
    <row r="673" spans="6:6" x14ac:dyDescent="0.25">
      <c r="F673" s="268"/>
    </row>
    <row r="674" spans="6:6" x14ac:dyDescent="0.25">
      <c r="F674" s="268"/>
    </row>
    <row r="675" spans="6:6" x14ac:dyDescent="0.25">
      <c r="F675" s="268"/>
    </row>
    <row r="676" spans="6:6" x14ac:dyDescent="0.25">
      <c r="F676" s="268"/>
    </row>
    <row r="677" spans="6:6" x14ac:dyDescent="0.25">
      <c r="F677" s="268"/>
    </row>
    <row r="678" spans="6:6" x14ac:dyDescent="0.25">
      <c r="F678" s="268"/>
    </row>
    <row r="679" spans="6:6" x14ac:dyDescent="0.25">
      <c r="F679" s="268"/>
    </row>
    <row r="680" spans="6:6" x14ac:dyDescent="0.25">
      <c r="F680" s="268"/>
    </row>
    <row r="681" spans="6:6" x14ac:dyDescent="0.25">
      <c r="F681" s="268"/>
    </row>
    <row r="682" spans="6:6" x14ac:dyDescent="0.25">
      <c r="F682" s="268"/>
    </row>
    <row r="683" spans="6:6" x14ac:dyDescent="0.25">
      <c r="F683" s="268"/>
    </row>
    <row r="684" spans="6:6" x14ac:dyDescent="0.25">
      <c r="F684" s="268"/>
    </row>
    <row r="685" spans="6:6" x14ac:dyDescent="0.25">
      <c r="F685" s="268"/>
    </row>
    <row r="686" spans="6:6" x14ac:dyDescent="0.25">
      <c r="F686" s="268"/>
    </row>
    <row r="687" spans="6:6" x14ac:dyDescent="0.25">
      <c r="F687" s="268"/>
    </row>
    <row r="688" spans="6:6" x14ac:dyDescent="0.25">
      <c r="F688" s="268"/>
    </row>
    <row r="689" spans="6:6" x14ac:dyDescent="0.25">
      <c r="F689" s="268"/>
    </row>
    <row r="690" spans="6:6" x14ac:dyDescent="0.25">
      <c r="F690" s="268"/>
    </row>
    <row r="691" spans="6:6" x14ac:dyDescent="0.25">
      <c r="F691" s="268"/>
    </row>
    <row r="692" spans="6:6" x14ac:dyDescent="0.25">
      <c r="F692" s="268"/>
    </row>
    <row r="693" spans="6:6" x14ac:dyDescent="0.25">
      <c r="F693" s="268"/>
    </row>
    <row r="694" spans="6:6" x14ac:dyDescent="0.25">
      <c r="F694" s="268"/>
    </row>
    <row r="695" spans="6:6" x14ac:dyDescent="0.25">
      <c r="F695" s="268"/>
    </row>
    <row r="696" spans="6:6" x14ac:dyDescent="0.25">
      <c r="F696" s="268"/>
    </row>
    <row r="697" spans="6:6" x14ac:dyDescent="0.25">
      <c r="F697" s="268"/>
    </row>
    <row r="698" spans="6:6" x14ac:dyDescent="0.25">
      <c r="F698" s="268"/>
    </row>
    <row r="699" spans="6:6" x14ac:dyDescent="0.25">
      <c r="F699" s="268"/>
    </row>
    <row r="700" spans="6:6" x14ac:dyDescent="0.25">
      <c r="F700" s="268"/>
    </row>
    <row r="701" spans="6:6" x14ac:dyDescent="0.25">
      <c r="F701" s="268"/>
    </row>
    <row r="702" spans="6:6" x14ac:dyDescent="0.25">
      <c r="F702" s="268"/>
    </row>
    <row r="703" spans="6:6" x14ac:dyDescent="0.25">
      <c r="F703" s="268"/>
    </row>
    <row r="704" spans="6:6" x14ac:dyDescent="0.25">
      <c r="F704" s="268"/>
    </row>
    <row r="705" spans="6:6" x14ac:dyDescent="0.25">
      <c r="F705" s="268"/>
    </row>
    <row r="706" spans="6:6" x14ac:dyDescent="0.25">
      <c r="F706" s="268"/>
    </row>
    <row r="707" spans="6:6" x14ac:dyDescent="0.25">
      <c r="F707" s="268"/>
    </row>
    <row r="708" spans="6:6" x14ac:dyDescent="0.25">
      <c r="F708" s="268"/>
    </row>
    <row r="709" spans="6:6" x14ac:dyDescent="0.25">
      <c r="F709" s="268"/>
    </row>
    <row r="710" spans="6:6" x14ac:dyDescent="0.25">
      <c r="F710" s="268"/>
    </row>
    <row r="711" spans="6:6" x14ac:dyDescent="0.25">
      <c r="F711" s="268"/>
    </row>
    <row r="712" spans="6:6" x14ac:dyDescent="0.25">
      <c r="F712" s="268"/>
    </row>
    <row r="713" spans="6:6" x14ac:dyDescent="0.25">
      <c r="F713" s="268"/>
    </row>
    <row r="714" spans="6:6" x14ac:dyDescent="0.25">
      <c r="F714" s="268"/>
    </row>
    <row r="715" spans="6:6" x14ac:dyDescent="0.25">
      <c r="F715" s="268"/>
    </row>
    <row r="716" spans="6:6" x14ac:dyDescent="0.25">
      <c r="F716" s="268"/>
    </row>
    <row r="717" spans="6:6" x14ac:dyDescent="0.25">
      <c r="F717" s="268"/>
    </row>
    <row r="718" spans="6:6" x14ac:dyDescent="0.25">
      <c r="F718" s="268"/>
    </row>
    <row r="719" spans="6:6" x14ac:dyDescent="0.25">
      <c r="F719" s="268"/>
    </row>
    <row r="720" spans="6:6" x14ac:dyDescent="0.25">
      <c r="F720" s="268"/>
    </row>
    <row r="721" spans="6:6" x14ac:dyDescent="0.25">
      <c r="F721" s="268"/>
    </row>
    <row r="722" spans="6:6" x14ac:dyDescent="0.25">
      <c r="F722" s="268"/>
    </row>
    <row r="723" spans="6:6" x14ac:dyDescent="0.25">
      <c r="F723" s="268"/>
    </row>
    <row r="724" spans="6:6" x14ac:dyDescent="0.25">
      <c r="F724" s="268"/>
    </row>
    <row r="725" spans="6:6" x14ac:dyDescent="0.25">
      <c r="F725" s="268"/>
    </row>
    <row r="726" spans="6:6" x14ac:dyDescent="0.25">
      <c r="F726" s="268"/>
    </row>
    <row r="727" spans="6:6" x14ac:dyDescent="0.25">
      <c r="F727" s="268"/>
    </row>
    <row r="728" spans="6:6" x14ac:dyDescent="0.25">
      <c r="F728" s="268"/>
    </row>
    <row r="729" spans="6:6" x14ac:dyDescent="0.25">
      <c r="F729" s="268"/>
    </row>
    <row r="730" spans="6:6" x14ac:dyDescent="0.25">
      <c r="F730" s="268"/>
    </row>
    <row r="731" spans="6:6" x14ac:dyDescent="0.25">
      <c r="F731" s="268"/>
    </row>
    <row r="732" spans="6:6" x14ac:dyDescent="0.25">
      <c r="F732" s="268"/>
    </row>
    <row r="733" spans="6:6" x14ac:dyDescent="0.25">
      <c r="F733" s="268"/>
    </row>
    <row r="734" spans="6:6" x14ac:dyDescent="0.25">
      <c r="F734" s="268"/>
    </row>
    <row r="735" spans="6:6" x14ac:dyDescent="0.25">
      <c r="F735" s="268"/>
    </row>
    <row r="736" spans="6:6" x14ac:dyDescent="0.25">
      <c r="F736" s="268"/>
    </row>
    <row r="737" spans="6:6" x14ac:dyDescent="0.25">
      <c r="F737" s="268"/>
    </row>
    <row r="738" spans="6:6" x14ac:dyDescent="0.25">
      <c r="F738" s="268"/>
    </row>
    <row r="739" spans="6:6" x14ac:dyDescent="0.25">
      <c r="F739" s="268"/>
    </row>
    <row r="740" spans="6:6" x14ac:dyDescent="0.25">
      <c r="F740" s="268"/>
    </row>
    <row r="741" spans="6:6" x14ac:dyDescent="0.25">
      <c r="F741" s="268"/>
    </row>
    <row r="742" spans="6:6" x14ac:dyDescent="0.25">
      <c r="F742" s="268"/>
    </row>
    <row r="743" spans="6:6" x14ac:dyDescent="0.25">
      <c r="F743" s="268"/>
    </row>
    <row r="744" spans="6:6" x14ac:dyDescent="0.25">
      <c r="F744" s="268"/>
    </row>
    <row r="745" spans="6:6" x14ac:dyDescent="0.25">
      <c r="F745" s="268"/>
    </row>
    <row r="746" spans="6:6" x14ac:dyDescent="0.25">
      <c r="F746" s="268"/>
    </row>
    <row r="747" spans="6:6" x14ac:dyDescent="0.25">
      <c r="F747" s="268"/>
    </row>
    <row r="748" spans="6:6" x14ac:dyDescent="0.25">
      <c r="F748" s="268"/>
    </row>
    <row r="749" spans="6:6" x14ac:dyDescent="0.25">
      <c r="F749" s="268"/>
    </row>
    <row r="750" spans="6:6" x14ac:dyDescent="0.25">
      <c r="F750" s="268"/>
    </row>
    <row r="751" spans="6:6" x14ac:dyDescent="0.25">
      <c r="F751" s="268"/>
    </row>
    <row r="752" spans="6:6" x14ac:dyDescent="0.25">
      <c r="F752" s="268"/>
    </row>
    <row r="753" spans="6:6" x14ac:dyDescent="0.25">
      <c r="F753" s="268"/>
    </row>
    <row r="754" spans="6:6" x14ac:dyDescent="0.25">
      <c r="F754" s="268"/>
    </row>
    <row r="755" spans="6:6" x14ac:dyDescent="0.25">
      <c r="F755" s="268"/>
    </row>
    <row r="756" spans="6:6" x14ac:dyDescent="0.25">
      <c r="F756" s="268"/>
    </row>
    <row r="757" spans="6:6" x14ac:dyDescent="0.25">
      <c r="F757" s="268"/>
    </row>
    <row r="758" spans="6:6" x14ac:dyDescent="0.25">
      <c r="F758" s="268"/>
    </row>
    <row r="759" spans="6:6" x14ac:dyDescent="0.25">
      <c r="F759" s="268"/>
    </row>
    <row r="760" spans="6:6" x14ac:dyDescent="0.25">
      <c r="F760" s="268"/>
    </row>
    <row r="761" spans="6:6" x14ac:dyDescent="0.25">
      <c r="F761" s="268"/>
    </row>
    <row r="762" spans="6:6" x14ac:dyDescent="0.25">
      <c r="F762" s="268"/>
    </row>
    <row r="763" spans="6:6" x14ac:dyDescent="0.25">
      <c r="F763" s="268"/>
    </row>
    <row r="764" spans="6:6" x14ac:dyDescent="0.25">
      <c r="F764" s="268"/>
    </row>
    <row r="765" spans="6:6" x14ac:dyDescent="0.25">
      <c r="F765" s="268"/>
    </row>
    <row r="766" spans="6:6" x14ac:dyDescent="0.25">
      <c r="F766" s="268"/>
    </row>
    <row r="767" spans="6:6" x14ac:dyDescent="0.25">
      <c r="F767" s="268"/>
    </row>
    <row r="768" spans="6:6" x14ac:dyDescent="0.25">
      <c r="F768" s="268"/>
    </row>
    <row r="769" spans="6:6" x14ac:dyDescent="0.25">
      <c r="F769" s="268"/>
    </row>
    <row r="770" spans="6:6" x14ac:dyDescent="0.25">
      <c r="F770" s="268"/>
    </row>
    <row r="771" spans="6:6" x14ac:dyDescent="0.25">
      <c r="F771" s="268"/>
    </row>
    <row r="772" spans="6:6" x14ac:dyDescent="0.25">
      <c r="F772" s="268"/>
    </row>
    <row r="773" spans="6:6" x14ac:dyDescent="0.25">
      <c r="F773" s="268"/>
    </row>
    <row r="774" spans="6:6" x14ac:dyDescent="0.25">
      <c r="F774" s="268"/>
    </row>
    <row r="775" spans="6:6" x14ac:dyDescent="0.25">
      <c r="F775" s="268"/>
    </row>
    <row r="776" spans="6:6" x14ac:dyDescent="0.25">
      <c r="F776" s="268"/>
    </row>
    <row r="777" spans="6:6" x14ac:dyDescent="0.25">
      <c r="F777" s="268"/>
    </row>
    <row r="778" spans="6:6" x14ac:dyDescent="0.25">
      <c r="F778" s="268"/>
    </row>
    <row r="779" spans="6:6" x14ac:dyDescent="0.25">
      <c r="F779" s="268"/>
    </row>
    <row r="780" spans="6:6" x14ac:dyDescent="0.25">
      <c r="F780" s="268"/>
    </row>
    <row r="781" spans="6:6" x14ac:dyDescent="0.25">
      <c r="F781" s="268"/>
    </row>
    <row r="782" spans="6:6" x14ac:dyDescent="0.25">
      <c r="F782" s="268"/>
    </row>
    <row r="783" spans="6:6" x14ac:dyDescent="0.25">
      <c r="F783" s="268"/>
    </row>
    <row r="784" spans="6:6" x14ac:dyDescent="0.25">
      <c r="F784" s="268"/>
    </row>
    <row r="785" spans="6:6" x14ac:dyDescent="0.25">
      <c r="F785" s="268"/>
    </row>
    <row r="786" spans="6:6" x14ac:dyDescent="0.25">
      <c r="F786" s="268"/>
    </row>
    <row r="787" spans="6:6" x14ac:dyDescent="0.25">
      <c r="F787" s="268"/>
    </row>
    <row r="788" spans="6:6" x14ac:dyDescent="0.25">
      <c r="F788" s="268"/>
    </row>
    <row r="789" spans="6:6" x14ac:dyDescent="0.25">
      <c r="F789" s="268"/>
    </row>
    <row r="790" spans="6:6" x14ac:dyDescent="0.25">
      <c r="F790" s="268"/>
    </row>
    <row r="791" spans="6:6" x14ac:dyDescent="0.25">
      <c r="F791" s="268"/>
    </row>
    <row r="792" spans="6:6" x14ac:dyDescent="0.25">
      <c r="F792" s="268"/>
    </row>
    <row r="793" spans="6:6" x14ac:dyDescent="0.25">
      <c r="F793" s="268"/>
    </row>
    <row r="794" spans="6:6" x14ac:dyDescent="0.25">
      <c r="F794" s="268"/>
    </row>
    <row r="795" spans="6:6" x14ac:dyDescent="0.25">
      <c r="F795" s="268"/>
    </row>
    <row r="796" spans="6:6" x14ac:dyDescent="0.25">
      <c r="F796" s="268"/>
    </row>
    <row r="797" spans="6:6" x14ac:dyDescent="0.25">
      <c r="F797" s="268"/>
    </row>
    <row r="798" spans="6:6" x14ac:dyDescent="0.25">
      <c r="F798" s="268"/>
    </row>
    <row r="799" spans="6:6" x14ac:dyDescent="0.25">
      <c r="F799" s="268"/>
    </row>
    <row r="800" spans="6:6" x14ac:dyDescent="0.25">
      <c r="F800" s="268"/>
    </row>
    <row r="801" spans="6:6" x14ac:dyDescent="0.25">
      <c r="F801" s="268"/>
    </row>
    <row r="802" spans="6:6" x14ac:dyDescent="0.25">
      <c r="F802" s="268"/>
    </row>
    <row r="803" spans="6:6" x14ac:dyDescent="0.25">
      <c r="F803" s="268"/>
    </row>
    <row r="804" spans="6:6" x14ac:dyDescent="0.25">
      <c r="F804" s="268"/>
    </row>
    <row r="805" spans="6:6" x14ac:dyDescent="0.25">
      <c r="F805" s="268"/>
    </row>
    <row r="806" spans="6:6" x14ac:dyDescent="0.25">
      <c r="F806" s="268"/>
    </row>
    <row r="807" spans="6:6" x14ac:dyDescent="0.25">
      <c r="F807" s="268"/>
    </row>
    <row r="808" spans="6:6" x14ac:dyDescent="0.25">
      <c r="F808" s="268"/>
    </row>
    <row r="809" spans="6:6" x14ac:dyDescent="0.25">
      <c r="F809" s="268"/>
    </row>
    <row r="810" spans="6:6" x14ac:dyDescent="0.25">
      <c r="F810" s="268"/>
    </row>
    <row r="811" spans="6:6" x14ac:dyDescent="0.25">
      <c r="F811" s="268"/>
    </row>
    <row r="812" spans="6:6" x14ac:dyDescent="0.25">
      <c r="F812" s="268"/>
    </row>
    <row r="813" spans="6:6" x14ac:dyDescent="0.25">
      <c r="F813" s="268"/>
    </row>
    <row r="814" spans="6:6" x14ac:dyDescent="0.25">
      <c r="F814" s="268"/>
    </row>
    <row r="815" spans="6:6" x14ac:dyDescent="0.25">
      <c r="F815" s="268"/>
    </row>
    <row r="816" spans="6:6" x14ac:dyDescent="0.25">
      <c r="F816" s="268"/>
    </row>
    <row r="817" spans="6:6" x14ac:dyDescent="0.25">
      <c r="F817" s="268"/>
    </row>
    <row r="818" spans="6:6" x14ac:dyDescent="0.25">
      <c r="F818" s="268"/>
    </row>
    <row r="819" spans="6:6" x14ac:dyDescent="0.25">
      <c r="F819" s="268"/>
    </row>
    <row r="820" spans="6:6" x14ac:dyDescent="0.25">
      <c r="F820" s="268"/>
    </row>
    <row r="821" spans="6:6" x14ac:dyDescent="0.25">
      <c r="F821" s="268"/>
    </row>
    <row r="822" spans="6:6" x14ac:dyDescent="0.25">
      <c r="F822" s="268"/>
    </row>
    <row r="823" spans="6:6" x14ac:dyDescent="0.25">
      <c r="F823" s="268"/>
    </row>
    <row r="824" spans="6:6" x14ac:dyDescent="0.25">
      <c r="F824" s="268"/>
    </row>
    <row r="825" spans="6:6" x14ac:dyDescent="0.25">
      <c r="F825" s="268"/>
    </row>
    <row r="826" spans="6:6" x14ac:dyDescent="0.25">
      <c r="F826" s="268"/>
    </row>
    <row r="827" spans="6:6" x14ac:dyDescent="0.25">
      <c r="F827" s="268"/>
    </row>
    <row r="828" spans="6:6" x14ac:dyDescent="0.25">
      <c r="F828" s="268"/>
    </row>
    <row r="829" spans="6:6" x14ac:dyDescent="0.25">
      <c r="F829" s="268"/>
    </row>
    <row r="830" spans="6:6" x14ac:dyDescent="0.25">
      <c r="F830" s="268"/>
    </row>
    <row r="831" spans="6:6" x14ac:dyDescent="0.25">
      <c r="F831" s="268"/>
    </row>
    <row r="832" spans="6:6" x14ac:dyDescent="0.25">
      <c r="F832" s="268"/>
    </row>
    <row r="833" spans="6:6" x14ac:dyDescent="0.25">
      <c r="F833" s="268"/>
    </row>
    <row r="834" spans="6:6" x14ac:dyDescent="0.25">
      <c r="F834" s="268"/>
    </row>
    <row r="835" spans="6:6" x14ac:dyDescent="0.25">
      <c r="F835" s="268"/>
    </row>
    <row r="836" spans="6:6" x14ac:dyDescent="0.25">
      <c r="F836" s="268"/>
    </row>
    <row r="837" spans="6:6" x14ac:dyDescent="0.25">
      <c r="F837" s="268"/>
    </row>
    <row r="838" spans="6:6" x14ac:dyDescent="0.25">
      <c r="F838" s="268"/>
    </row>
    <row r="839" spans="6:6" x14ac:dyDescent="0.25">
      <c r="F839" s="268"/>
    </row>
    <row r="840" spans="6:6" x14ac:dyDescent="0.25">
      <c r="F840" s="268"/>
    </row>
    <row r="841" spans="6:6" x14ac:dyDescent="0.25">
      <c r="F841" s="268"/>
    </row>
    <row r="842" spans="6:6" x14ac:dyDescent="0.25">
      <c r="F842" s="268"/>
    </row>
    <row r="843" spans="6:6" x14ac:dyDescent="0.25">
      <c r="F843" s="268"/>
    </row>
    <row r="844" spans="6:6" x14ac:dyDescent="0.25">
      <c r="F844" s="268"/>
    </row>
    <row r="845" spans="6:6" x14ac:dyDescent="0.25">
      <c r="F845" s="268"/>
    </row>
    <row r="846" spans="6:6" x14ac:dyDescent="0.25">
      <c r="F846" s="268"/>
    </row>
    <row r="847" spans="6:6" x14ac:dyDescent="0.25">
      <c r="F847" s="268"/>
    </row>
    <row r="848" spans="6:6" x14ac:dyDescent="0.25">
      <c r="F848" s="268"/>
    </row>
    <row r="849" spans="6:6" x14ac:dyDescent="0.25">
      <c r="F849" s="268"/>
    </row>
    <row r="850" spans="6:6" x14ac:dyDescent="0.25">
      <c r="F850" s="268"/>
    </row>
    <row r="851" spans="6:6" x14ac:dyDescent="0.25">
      <c r="F851" s="268"/>
    </row>
    <row r="852" spans="6:6" x14ac:dyDescent="0.25">
      <c r="F852" s="268"/>
    </row>
    <row r="853" spans="6:6" x14ac:dyDescent="0.25">
      <c r="F853" s="268"/>
    </row>
    <row r="854" spans="6:6" x14ac:dyDescent="0.25">
      <c r="F854" s="268"/>
    </row>
    <row r="855" spans="6:6" x14ac:dyDescent="0.25">
      <c r="F855" s="268"/>
    </row>
    <row r="856" spans="6:6" x14ac:dyDescent="0.25">
      <c r="F856" s="268"/>
    </row>
    <row r="857" spans="6:6" x14ac:dyDescent="0.25">
      <c r="F857" s="268"/>
    </row>
    <row r="858" spans="6:6" x14ac:dyDescent="0.25">
      <c r="F858" s="268"/>
    </row>
    <row r="859" spans="6:6" x14ac:dyDescent="0.25">
      <c r="F859" s="268"/>
    </row>
    <row r="860" spans="6:6" x14ac:dyDescent="0.25">
      <c r="F860" s="268"/>
    </row>
    <row r="861" spans="6:6" x14ac:dyDescent="0.25">
      <c r="F861" s="268"/>
    </row>
    <row r="862" spans="6:6" x14ac:dyDescent="0.25">
      <c r="F862" s="268"/>
    </row>
    <row r="863" spans="6:6" x14ac:dyDescent="0.25">
      <c r="F863" s="268"/>
    </row>
    <row r="864" spans="6:6" x14ac:dyDescent="0.25">
      <c r="F864" s="268"/>
    </row>
    <row r="865" spans="6:6" x14ac:dyDescent="0.25">
      <c r="F865" s="268"/>
    </row>
    <row r="866" spans="6:6" x14ac:dyDescent="0.25">
      <c r="F866" s="268"/>
    </row>
    <row r="867" spans="6:6" x14ac:dyDescent="0.25">
      <c r="F867" s="268"/>
    </row>
    <row r="868" spans="6:6" x14ac:dyDescent="0.25">
      <c r="F868" s="268"/>
    </row>
    <row r="869" spans="6:6" x14ac:dyDescent="0.25">
      <c r="F869" s="268"/>
    </row>
    <row r="870" spans="6:6" x14ac:dyDescent="0.25">
      <c r="F870" s="268"/>
    </row>
    <row r="871" spans="6:6" x14ac:dyDescent="0.25">
      <c r="F871" s="268"/>
    </row>
    <row r="872" spans="6:6" x14ac:dyDescent="0.25">
      <c r="F872" s="268"/>
    </row>
    <row r="873" spans="6:6" x14ac:dyDescent="0.25">
      <c r="F873" s="268"/>
    </row>
    <row r="874" spans="6:6" x14ac:dyDescent="0.25">
      <c r="F874" s="268"/>
    </row>
    <row r="875" spans="6:6" x14ac:dyDescent="0.25">
      <c r="F875" s="268"/>
    </row>
    <row r="876" spans="6:6" x14ac:dyDescent="0.25">
      <c r="F876" s="268"/>
    </row>
    <row r="877" spans="6:6" x14ac:dyDescent="0.25">
      <c r="F877" s="268"/>
    </row>
    <row r="878" spans="6:6" x14ac:dyDescent="0.25">
      <c r="F878" s="268"/>
    </row>
    <row r="879" spans="6:6" x14ac:dyDescent="0.25">
      <c r="F879" s="268"/>
    </row>
    <row r="880" spans="6:6" x14ac:dyDescent="0.25">
      <c r="F880" s="268"/>
    </row>
    <row r="881" spans="6:6" x14ac:dyDescent="0.25">
      <c r="F881" s="268"/>
    </row>
    <row r="882" spans="6:6" x14ac:dyDescent="0.25">
      <c r="F882" s="268"/>
    </row>
    <row r="883" spans="6:6" x14ac:dyDescent="0.25">
      <c r="F883" s="268"/>
    </row>
    <row r="884" spans="6:6" x14ac:dyDescent="0.25">
      <c r="F884" s="268"/>
    </row>
    <row r="885" spans="6:6" x14ac:dyDescent="0.25">
      <c r="F885" s="268"/>
    </row>
    <row r="886" spans="6:6" x14ac:dyDescent="0.25">
      <c r="F886" s="268"/>
    </row>
    <row r="887" spans="6:6" x14ac:dyDescent="0.25">
      <c r="F887" s="268"/>
    </row>
    <row r="888" spans="6:6" x14ac:dyDescent="0.25">
      <c r="F888" s="268"/>
    </row>
    <row r="889" spans="6:6" x14ac:dyDescent="0.25">
      <c r="F889" s="268"/>
    </row>
    <row r="890" spans="6:6" x14ac:dyDescent="0.25">
      <c r="F890" s="268"/>
    </row>
    <row r="891" spans="6:6" x14ac:dyDescent="0.25">
      <c r="F891" s="268"/>
    </row>
    <row r="892" spans="6:6" x14ac:dyDescent="0.25">
      <c r="F892" s="268"/>
    </row>
    <row r="893" spans="6:6" x14ac:dyDescent="0.25">
      <c r="F893" s="268"/>
    </row>
    <row r="894" spans="6:6" x14ac:dyDescent="0.25">
      <c r="F894" s="268"/>
    </row>
    <row r="895" spans="6:6" x14ac:dyDescent="0.25">
      <c r="F895" s="268"/>
    </row>
    <row r="896" spans="6:6" x14ac:dyDescent="0.25">
      <c r="F896" s="268"/>
    </row>
    <row r="897" spans="6:6" x14ac:dyDescent="0.25">
      <c r="F897" s="268"/>
    </row>
    <row r="898" spans="6:6" x14ac:dyDescent="0.25">
      <c r="F898" s="268"/>
    </row>
    <row r="899" spans="6:6" x14ac:dyDescent="0.25">
      <c r="F899" s="268"/>
    </row>
    <row r="900" spans="6:6" x14ac:dyDescent="0.25">
      <c r="F900" s="268"/>
    </row>
    <row r="901" spans="6:6" x14ac:dyDescent="0.25">
      <c r="F901" s="268"/>
    </row>
    <row r="902" spans="6:6" x14ac:dyDescent="0.25">
      <c r="F902" s="268"/>
    </row>
    <row r="903" spans="6:6" x14ac:dyDescent="0.25">
      <c r="F903" s="268"/>
    </row>
    <row r="904" spans="6:6" x14ac:dyDescent="0.25">
      <c r="F904" s="268"/>
    </row>
    <row r="905" spans="6:6" x14ac:dyDescent="0.25">
      <c r="F905" s="268"/>
    </row>
    <row r="906" spans="6:6" x14ac:dyDescent="0.25">
      <c r="F906" s="268"/>
    </row>
    <row r="907" spans="6:6" x14ac:dyDescent="0.25">
      <c r="F907" s="268"/>
    </row>
    <row r="908" spans="6:6" x14ac:dyDescent="0.25">
      <c r="F908" s="268"/>
    </row>
    <row r="909" spans="6:6" x14ac:dyDescent="0.25">
      <c r="F909" s="268"/>
    </row>
    <row r="910" spans="6:6" x14ac:dyDescent="0.25">
      <c r="F910" s="268"/>
    </row>
    <row r="911" spans="6:6" x14ac:dyDescent="0.25">
      <c r="F911" s="268"/>
    </row>
    <row r="912" spans="6:6" x14ac:dyDescent="0.25">
      <c r="F912" s="268"/>
    </row>
    <row r="913" spans="6:6" x14ac:dyDescent="0.25">
      <c r="F913" s="268"/>
    </row>
    <row r="914" spans="6:6" x14ac:dyDescent="0.25">
      <c r="F914" s="268"/>
    </row>
    <row r="915" spans="6:6" x14ac:dyDescent="0.25">
      <c r="F915" s="268"/>
    </row>
    <row r="916" spans="6:6" x14ac:dyDescent="0.25">
      <c r="F916" s="268"/>
    </row>
    <row r="917" spans="6:6" x14ac:dyDescent="0.25">
      <c r="F917" s="268"/>
    </row>
    <row r="918" spans="6:6" x14ac:dyDescent="0.25">
      <c r="F918" s="268"/>
    </row>
    <row r="919" spans="6:6" x14ac:dyDescent="0.25">
      <c r="F919" s="268"/>
    </row>
    <row r="920" spans="6:6" x14ac:dyDescent="0.25">
      <c r="F920" s="268"/>
    </row>
    <row r="921" spans="6:6" x14ac:dyDescent="0.25">
      <c r="F921" s="268"/>
    </row>
    <row r="922" spans="6:6" x14ac:dyDescent="0.25">
      <c r="F922" s="268"/>
    </row>
    <row r="923" spans="6:6" x14ac:dyDescent="0.25">
      <c r="F923" s="268"/>
    </row>
    <row r="924" spans="6:6" x14ac:dyDescent="0.25">
      <c r="F924" s="268"/>
    </row>
    <row r="925" spans="6:6" x14ac:dyDescent="0.25">
      <c r="F925" s="268"/>
    </row>
    <row r="926" spans="6:6" x14ac:dyDescent="0.25">
      <c r="F926" s="268"/>
    </row>
    <row r="927" spans="6:6" x14ac:dyDescent="0.25">
      <c r="F927" s="268"/>
    </row>
    <row r="928" spans="6:6" x14ac:dyDescent="0.25">
      <c r="F928" s="268"/>
    </row>
    <row r="929" spans="6:6" x14ac:dyDescent="0.25">
      <c r="F929" s="268"/>
    </row>
    <row r="930" spans="6:6" x14ac:dyDescent="0.25">
      <c r="F930" s="268"/>
    </row>
    <row r="931" spans="6:6" x14ac:dyDescent="0.25">
      <c r="F931" s="268"/>
    </row>
    <row r="932" spans="6:6" x14ac:dyDescent="0.25">
      <c r="F932" s="268"/>
    </row>
    <row r="933" spans="6:6" x14ac:dyDescent="0.25">
      <c r="F933" s="268"/>
    </row>
    <row r="934" spans="6:6" x14ac:dyDescent="0.25">
      <c r="F934" s="268"/>
    </row>
    <row r="935" spans="6:6" x14ac:dyDescent="0.25">
      <c r="F935" s="268"/>
    </row>
    <row r="936" spans="6:6" x14ac:dyDescent="0.25">
      <c r="F936" s="268"/>
    </row>
    <row r="937" spans="6:6" x14ac:dyDescent="0.25">
      <c r="F937" s="268"/>
    </row>
    <row r="938" spans="6:6" x14ac:dyDescent="0.25">
      <c r="F938" s="268"/>
    </row>
    <row r="939" spans="6:6" x14ac:dyDescent="0.25">
      <c r="F939" s="268"/>
    </row>
    <row r="940" spans="6:6" x14ac:dyDescent="0.25">
      <c r="F940" s="268"/>
    </row>
    <row r="941" spans="6:6" x14ac:dyDescent="0.25">
      <c r="F941" s="268"/>
    </row>
    <row r="942" spans="6:6" x14ac:dyDescent="0.25">
      <c r="F942" s="268"/>
    </row>
    <row r="943" spans="6:6" x14ac:dyDescent="0.25">
      <c r="F943" s="268"/>
    </row>
    <row r="944" spans="6:6" x14ac:dyDescent="0.25">
      <c r="F944" s="268"/>
    </row>
    <row r="945" spans="6:6" x14ac:dyDescent="0.25">
      <c r="F945" s="268"/>
    </row>
    <row r="946" spans="6:6" x14ac:dyDescent="0.25">
      <c r="F946" s="268"/>
    </row>
    <row r="947" spans="6:6" x14ac:dyDescent="0.25">
      <c r="F947" s="268"/>
    </row>
    <row r="948" spans="6:6" x14ac:dyDescent="0.25">
      <c r="F948" s="268"/>
    </row>
    <row r="949" spans="6:6" x14ac:dyDescent="0.25">
      <c r="F949" s="268"/>
    </row>
    <row r="950" spans="6:6" x14ac:dyDescent="0.25">
      <c r="F950" s="268"/>
    </row>
    <row r="951" spans="6:6" x14ac:dyDescent="0.25">
      <c r="F951" s="268"/>
    </row>
    <row r="952" spans="6:6" x14ac:dyDescent="0.25">
      <c r="F952" s="268"/>
    </row>
    <row r="953" spans="6:6" x14ac:dyDescent="0.25">
      <c r="F953" s="268"/>
    </row>
    <row r="954" spans="6:6" x14ac:dyDescent="0.25">
      <c r="F954" s="268"/>
    </row>
    <row r="955" spans="6:6" x14ac:dyDescent="0.25">
      <c r="F955" s="268"/>
    </row>
    <row r="956" spans="6:6" x14ac:dyDescent="0.25">
      <c r="F956" s="268"/>
    </row>
    <row r="957" spans="6:6" x14ac:dyDescent="0.25">
      <c r="F957" s="268"/>
    </row>
    <row r="958" spans="6:6" x14ac:dyDescent="0.25">
      <c r="F958" s="268"/>
    </row>
    <row r="959" spans="6:6" x14ac:dyDescent="0.25">
      <c r="F959" s="268"/>
    </row>
    <row r="960" spans="6:6" x14ac:dyDescent="0.25">
      <c r="F960" s="268"/>
    </row>
    <row r="961" spans="6:6" x14ac:dyDescent="0.25">
      <c r="F961" s="268"/>
    </row>
    <row r="962" spans="6:6" x14ac:dyDescent="0.25">
      <c r="F962" s="268"/>
    </row>
    <row r="963" spans="6:6" x14ac:dyDescent="0.25">
      <c r="F963" s="268"/>
    </row>
    <row r="964" spans="6:6" x14ac:dyDescent="0.25">
      <c r="F964" s="268"/>
    </row>
    <row r="965" spans="6:6" x14ac:dyDescent="0.25">
      <c r="F965" s="268"/>
    </row>
    <row r="966" spans="6:6" x14ac:dyDescent="0.25">
      <c r="F966" s="268"/>
    </row>
    <row r="967" spans="6:6" x14ac:dyDescent="0.25">
      <c r="F967" s="268"/>
    </row>
    <row r="968" spans="6:6" x14ac:dyDescent="0.25">
      <c r="F968" s="268"/>
    </row>
    <row r="969" spans="6:6" x14ac:dyDescent="0.25">
      <c r="F969" s="268"/>
    </row>
    <row r="970" spans="6:6" x14ac:dyDescent="0.25">
      <c r="F970" s="268"/>
    </row>
    <row r="971" spans="6:6" x14ac:dyDescent="0.25">
      <c r="F971" s="268"/>
    </row>
    <row r="972" spans="6:6" x14ac:dyDescent="0.25">
      <c r="F972" s="268"/>
    </row>
    <row r="973" spans="6:6" x14ac:dyDescent="0.25">
      <c r="F973" s="268"/>
    </row>
    <row r="974" spans="6:6" x14ac:dyDescent="0.25">
      <c r="F974" s="268"/>
    </row>
    <row r="975" spans="6:6" x14ac:dyDescent="0.25">
      <c r="F975" s="268"/>
    </row>
    <row r="976" spans="6:6" x14ac:dyDescent="0.25">
      <c r="F976" s="268"/>
    </row>
    <row r="977" spans="6:6" x14ac:dyDescent="0.25">
      <c r="F977" s="268"/>
    </row>
    <row r="978" spans="6:6" x14ac:dyDescent="0.25">
      <c r="F978" s="268"/>
    </row>
    <row r="979" spans="6:6" x14ac:dyDescent="0.25">
      <c r="F979" s="268"/>
    </row>
    <row r="980" spans="6:6" x14ac:dyDescent="0.25">
      <c r="F980" s="268"/>
    </row>
    <row r="981" spans="6:6" x14ac:dyDescent="0.25">
      <c r="F981" s="268"/>
    </row>
    <row r="982" spans="6:6" x14ac:dyDescent="0.25">
      <c r="F982" s="268"/>
    </row>
    <row r="983" spans="6:6" x14ac:dyDescent="0.25">
      <c r="F983" s="268"/>
    </row>
    <row r="984" spans="6:6" x14ac:dyDescent="0.25">
      <c r="F984" s="268"/>
    </row>
    <row r="985" spans="6:6" x14ac:dyDescent="0.25">
      <c r="F985" s="268"/>
    </row>
    <row r="986" spans="6:6" x14ac:dyDescent="0.25">
      <c r="F986" s="268"/>
    </row>
    <row r="987" spans="6:6" x14ac:dyDescent="0.25">
      <c r="F987" s="268"/>
    </row>
    <row r="988" spans="6:6" x14ac:dyDescent="0.25">
      <c r="F988" s="268"/>
    </row>
    <row r="989" spans="6:6" x14ac:dyDescent="0.25">
      <c r="F989" s="268"/>
    </row>
    <row r="990" spans="6:6" x14ac:dyDescent="0.25">
      <c r="F990" s="268"/>
    </row>
    <row r="991" spans="6:6" x14ac:dyDescent="0.25">
      <c r="F991" s="268"/>
    </row>
    <row r="992" spans="6:6" x14ac:dyDescent="0.25">
      <c r="F992" s="268"/>
    </row>
    <row r="993" spans="6:6" x14ac:dyDescent="0.25">
      <c r="F993" s="268"/>
    </row>
    <row r="994" spans="6:6" x14ac:dyDescent="0.25">
      <c r="F994" s="268"/>
    </row>
    <row r="995" spans="6:6" x14ac:dyDescent="0.25">
      <c r="F995" s="268"/>
    </row>
    <row r="996" spans="6:6" x14ac:dyDescent="0.25">
      <c r="F996" s="268"/>
    </row>
    <row r="997" spans="6:6" x14ac:dyDescent="0.25">
      <c r="F997" s="268"/>
    </row>
    <row r="998" spans="6:6" x14ac:dyDescent="0.25">
      <c r="F998" s="268"/>
    </row>
    <row r="999" spans="6:6" x14ac:dyDescent="0.25">
      <c r="F999" s="268"/>
    </row>
    <row r="1000" spans="6:6" x14ac:dyDescent="0.25">
      <c r="F1000" s="268"/>
    </row>
    <row r="1001" spans="6:6" x14ac:dyDescent="0.25">
      <c r="F1001" s="268"/>
    </row>
    <row r="1002" spans="6:6" x14ac:dyDescent="0.25">
      <c r="F1002" s="268"/>
    </row>
    <row r="1003" spans="6:6" x14ac:dyDescent="0.25">
      <c r="F1003" s="268"/>
    </row>
    <row r="1004" spans="6:6" x14ac:dyDescent="0.25">
      <c r="F1004" s="268"/>
    </row>
    <row r="1005" spans="6:6" x14ac:dyDescent="0.25">
      <c r="F1005" s="268"/>
    </row>
    <row r="1006" spans="6:6" x14ac:dyDescent="0.25">
      <c r="F1006" s="268"/>
    </row>
    <row r="1007" spans="6:6" x14ac:dyDescent="0.25">
      <c r="F1007" s="268"/>
    </row>
    <row r="1008" spans="6:6" x14ac:dyDescent="0.25">
      <c r="F1008" s="268"/>
    </row>
    <row r="1009" spans="6:6" x14ac:dyDescent="0.25">
      <c r="F1009" s="268"/>
    </row>
    <row r="1010" spans="6:6" x14ac:dyDescent="0.25">
      <c r="F1010" s="268"/>
    </row>
    <row r="1011" spans="6:6" x14ac:dyDescent="0.25">
      <c r="F1011" s="268"/>
    </row>
    <row r="1012" spans="6:6" x14ac:dyDescent="0.25">
      <c r="F1012" s="268"/>
    </row>
    <row r="1013" spans="6:6" x14ac:dyDescent="0.25">
      <c r="F1013" s="268"/>
    </row>
    <row r="1014" spans="6:6" x14ac:dyDescent="0.25">
      <c r="F1014" s="268"/>
    </row>
    <row r="1015" spans="6:6" x14ac:dyDescent="0.25">
      <c r="F1015" s="268"/>
    </row>
    <row r="1016" spans="6:6" x14ac:dyDescent="0.25">
      <c r="F1016" s="268"/>
    </row>
    <row r="1017" spans="6:6" x14ac:dyDescent="0.25">
      <c r="F1017" s="268"/>
    </row>
    <row r="1018" spans="6:6" x14ac:dyDescent="0.25">
      <c r="F1018" s="268"/>
    </row>
    <row r="1019" spans="6:6" x14ac:dyDescent="0.25">
      <c r="F1019" s="268"/>
    </row>
    <row r="1020" spans="6:6" x14ac:dyDescent="0.25">
      <c r="F1020" s="268"/>
    </row>
    <row r="1021" spans="6:6" x14ac:dyDescent="0.25">
      <c r="F1021" s="268"/>
    </row>
    <row r="1022" spans="6:6" x14ac:dyDescent="0.25">
      <c r="F1022" s="268"/>
    </row>
    <row r="1023" spans="6:6" x14ac:dyDescent="0.25">
      <c r="F1023" s="268"/>
    </row>
    <row r="1024" spans="6:6" x14ac:dyDescent="0.25">
      <c r="F1024" s="268"/>
    </row>
    <row r="1025" spans="6:6" x14ac:dyDescent="0.25">
      <c r="F1025" s="268"/>
    </row>
    <row r="1026" spans="6:6" x14ac:dyDescent="0.25">
      <c r="F1026" s="268"/>
    </row>
    <row r="1027" spans="6:6" x14ac:dyDescent="0.25">
      <c r="F1027" s="268"/>
    </row>
    <row r="1028" spans="6:6" x14ac:dyDescent="0.25">
      <c r="F1028" s="268"/>
    </row>
    <row r="1029" spans="6:6" x14ac:dyDescent="0.25">
      <c r="F1029" s="268"/>
    </row>
    <row r="1030" spans="6:6" x14ac:dyDescent="0.25">
      <c r="F1030" s="268"/>
    </row>
    <row r="1031" spans="6:6" x14ac:dyDescent="0.25">
      <c r="F1031" s="268"/>
    </row>
    <row r="1032" spans="6:6" x14ac:dyDescent="0.25">
      <c r="F1032" s="268"/>
    </row>
    <row r="1033" spans="6:6" x14ac:dyDescent="0.25">
      <c r="F1033" s="268"/>
    </row>
    <row r="1034" spans="6:6" x14ac:dyDescent="0.25">
      <c r="F1034" s="268"/>
    </row>
    <row r="1035" spans="6:6" x14ac:dyDescent="0.25">
      <c r="F1035" s="268"/>
    </row>
    <row r="1036" spans="6:6" x14ac:dyDescent="0.25">
      <c r="F1036" s="268"/>
    </row>
    <row r="1037" spans="6:6" x14ac:dyDescent="0.25">
      <c r="F1037" s="268"/>
    </row>
    <row r="1038" spans="6:6" x14ac:dyDescent="0.25">
      <c r="F1038" s="268"/>
    </row>
    <row r="1039" spans="6:6" x14ac:dyDescent="0.25">
      <c r="F1039" s="268"/>
    </row>
    <row r="1040" spans="6:6" x14ac:dyDescent="0.25">
      <c r="F1040" s="268"/>
    </row>
    <row r="1041" spans="6:6" x14ac:dyDescent="0.25">
      <c r="F1041" s="268"/>
    </row>
    <row r="1042" spans="6:6" x14ac:dyDescent="0.25">
      <c r="F1042" s="268"/>
    </row>
    <row r="1043" spans="6:6" x14ac:dyDescent="0.25">
      <c r="F1043" s="268"/>
    </row>
    <row r="1044" spans="6:6" x14ac:dyDescent="0.25">
      <c r="F1044" s="268"/>
    </row>
    <row r="1045" spans="6:6" x14ac:dyDescent="0.25">
      <c r="F1045" s="268"/>
    </row>
    <row r="1046" spans="6:6" x14ac:dyDescent="0.25">
      <c r="F1046" s="268"/>
    </row>
    <row r="1047" spans="6:6" x14ac:dyDescent="0.25">
      <c r="F1047" s="268"/>
    </row>
    <row r="1048" spans="6:6" x14ac:dyDescent="0.25">
      <c r="F1048" s="268"/>
    </row>
    <row r="1049" spans="6:6" x14ac:dyDescent="0.25">
      <c r="F1049" s="268"/>
    </row>
    <row r="1050" spans="6:6" x14ac:dyDescent="0.25">
      <c r="F1050" s="268"/>
    </row>
    <row r="1051" spans="6:6" x14ac:dyDescent="0.25">
      <c r="F1051" s="268"/>
    </row>
    <row r="1052" spans="6:6" x14ac:dyDescent="0.25">
      <c r="F1052" s="268"/>
    </row>
    <row r="1053" spans="6:6" x14ac:dyDescent="0.25">
      <c r="F1053" s="268"/>
    </row>
    <row r="1054" spans="6:6" x14ac:dyDescent="0.25">
      <c r="F1054" s="268"/>
    </row>
    <row r="1055" spans="6:6" x14ac:dyDescent="0.25">
      <c r="F1055" s="268"/>
    </row>
    <row r="1056" spans="6:6" x14ac:dyDescent="0.25">
      <c r="F1056" s="268"/>
    </row>
    <row r="1057" spans="6:6" x14ac:dyDescent="0.25">
      <c r="F1057" s="268"/>
    </row>
    <row r="1058" spans="6:6" x14ac:dyDescent="0.25">
      <c r="F1058" s="268"/>
    </row>
    <row r="1059" spans="6:6" x14ac:dyDescent="0.25">
      <c r="F1059" s="268"/>
    </row>
    <row r="1060" spans="6:6" x14ac:dyDescent="0.25">
      <c r="F1060" s="268"/>
    </row>
    <row r="1061" spans="6:6" x14ac:dyDescent="0.25">
      <c r="F1061" s="268"/>
    </row>
    <row r="1062" spans="6:6" x14ac:dyDescent="0.25">
      <c r="F1062" s="268"/>
    </row>
    <row r="1063" spans="6:6" x14ac:dyDescent="0.25">
      <c r="F1063" s="268"/>
    </row>
    <row r="1064" spans="6:6" x14ac:dyDescent="0.25">
      <c r="F1064" s="268"/>
    </row>
    <row r="1065" spans="6:6" x14ac:dyDescent="0.25">
      <c r="F1065" s="268"/>
    </row>
    <row r="1066" spans="6:6" x14ac:dyDescent="0.25">
      <c r="F1066" s="268"/>
    </row>
    <row r="1067" spans="6:6" x14ac:dyDescent="0.25">
      <c r="F1067" s="268"/>
    </row>
    <row r="1068" spans="6:6" x14ac:dyDescent="0.25">
      <c r="F1068" s="268"/>
    </row>
    <row r="1069" spans="6:6" x14ac:dyDescent="0.25">
      <c r="F1069" s="268"/>
    </row>
    <row r="1070" spans="6:6" x14ac:dyDescent="0.25">
      <c r="F1070" s="268"/>
    </row>
    <row r="1071" spans="6:6" x14ac:dyDescent="0.25">
      <c r="F1071" s="268"/>
    </row>
    <row r="1072" spans="6:6" x14ac:dyDescent="0.25">
      <c r="F1072" s="268"/>
    </row>
    <row r="1073" spans="6:6" x14ac:dyDescent="0.25">
      <c r="F1073" s="268"/>
    </row>
    <row r="1074" spans="6:6" x14ac:dyDescent="0.25">
      <c r="F1074" s="268"/>
    </row>
    <row r="1075" spans="6:6" x14ac:dyDescent="0.25">
      <c r="F1075" s="268"/>
    </row>
    <row r="1076" spans="6:6" x14ac:dyDescent="0.25">
      <c r="F1076" s="268"/>
    </row>
    <row r="1077" spans="6:6" x14ac:dyDescent="0.25">
      <c r="F1077" s="268"/>
    </row>
    <row r="1078" spans="6:6" x14ac:dyDescent="0.25">
      <c r="F1078" s="268"/>
    </row>
    <row r="1079" spans="6:6" x14ac:dyDescent="0.25">
      <c r="F1079" s="268"/>
    </row>
    <row r="1080" spans="6:6" x14ac:dyDescent="0.25">
      <c r="F1080" s="268"/>
    </row>
    <row r="1081" spans="6:6" x14ac:dyDescent="0.25">
      <c r="F1081" s="268"/>
    </row>
    <row r="1082" spans="6:6" x14ac:dyDescent="0.25">
      <c r="F1082" s="268"/>
    </row>
    <row r="1083" spans="6:6" x14ac:dyDescent="0.25">
      <c r="F1083" s="268"/>
    </row>
    <row r="1084" spans="6:6" x14ac:dyDescent="0.25">
      <c r="F1084" s="268"/>
    </row>
    <row r="1085" spans="6:6" x14ac:dyDescent="0.25">
      <c r="F1085" s="268"/>
    </row>
    <row r="1086" spans="6:6" x14ac:dyDescent="0.25">
      <c r="F1086" s="268"/>
    </row>
    <row r="1087" spans="6:6" x14ac:dyDescent="0.25">
      <c r="F1087" s="268"/>
    </row>
    <row r="1088" spans="6:6" x14ac:dyDescent="0.25">
      <c r="F1088" s="268"/>
    </row>
    <row r="1089" spans="6:6" x14ac:dyDescent="0.25">
      <c r="F1089" s="268"/>
    </row>
    <row r="1090" spans="6:6" x14ac:dyDescent="0.25">
      <c r="F1090" s="268"/>
    </row>
    <row r="1091" spans="6:6" x14ac:dyDescent="0.25">
      <c r="F1091" s="268"/>
    </row>
    <row r="1092" spans="6:6" x14ac:dyDescent="0.25">
      <c r="F1092" s="268"/>
    </row>
    <row r="1093" spans="6:6" x14ac:dyDescent="0.25">
      <c r="F1093" s="268"/>
    </row>
    <row r="1094" spans="6:6" x14ac:dyDescent="0.25">
      <c r="F1094" s="268"/>
    </row>
    <row r="1095" spans="6:6" x14ac:dyDescent="0.25">
      <c r="F1095" s="268"/>
    </row>
    <row r="1096" spans="6:6" x14ac:dyDescent="0.25">
      <c r="F1096" s="268"/>
    </row>
    <row r="1097" spans="6:6" x14ac:dyDescent="0.25">
      <c r="F1097" s="268"/>
    </row>
    <row r="1098" spans="6:6" x14ac:dyDescent="0.25">
      <c r="F1098" s="268"/>
    </row>
    <row r="1099" spans="6:6" x14ac:dyDescent="0.25">
      <c r="F1099" s="268"/>
    </row>
    <row r="1100" spans="6:6" x14ac:dyDescent="0.25">
      <c r="F1100" s="268"/>
    </row>
    <row r="1101" spans="6:6" x14ac:dyDescent="0.25">
      <c r="F1101" s="268"/>
    </row>
    <row r="1102" spans="6:6" x14ac:dyDescent="0.25">
      <c r="F1102" s="268"/>
    </row>
    <row r="1103" spans="6:6" x14ac:dyDescent="0.25">
      <c r="F1103" s="268"/>
    </row>
    <row r="1104" spans="6:6" x14ac:dyDescent="0.25">
      <c r="F1104" s="268"/>
    </row>
    <row r="1105" spans="6:6" x14ac:dyDescent="0.25">
      <c r="F1105" s="268"/>
    </row>
    <row r="1106" spans="6:6" x14ac:dyDescent="0.25">
      <c r="F1106" s="268"/>
    </row>
    <row r="1107" spans="6:6" x14ac:dyDescent="0.25">
      <c r="F1107" s="268"/>
    </row>
    <row r="1108" spans="6:6" x14ac:dyDescent="0.25">
      <c r="F1108" s="268"/>
    </row>
    <row r="1109" spans="6:6" x14ac:dyDescent="0.25">
      <c r="F1109" s="268"/>
    </row>
    <row r="1110" spans="6:6" x14ac:dyDescent="0.25">
      <c r="F1110" s="268"/>
    </row>
    <row r="1111" spans="6:6" x14ac:dyDescent="0.25">
      <c r="F1111" s="268"/>
    </row>
    <row r="1112" spans="6:6" x14ac:dyDescent="0.25">
      <c r="F1112" s="268"/>
    </row>
    <row r="1113" spans="6:6" x14ac:dyDescent="0.25">
      <c r="F1113" s="268"/>
    </row>
    <row r="1114" spans="6:6" x14ac:dyDescent="0.25">
      <c r="F1114" s="268"/>
    </row>
    <row r="1115" spans="6:6" x14ac:dyDescent="0.25">
      <c r="F1115" s="268"/>
    </row>
    <row r="1116" spans="6:6" x14ac:dyDescent="0.25">
      <c r="F1116" s="268"/>
    </row>
    <row r="1117" spans="6:6" x14ac:dyDescent="0.25">
      <c r="F1117" s="268"/>
    </row>
    <row r="1118" spans="6:6" x14ac:dyDescent="0.25">
      <c r="F1118" s="268"/>
    </row>
    <row r="1119" spans="6:6" x14ac:dyDescent="0.25">
      <c r="F1119" s="268"/>
    </row>
    <row r="1120" spans="6:6" x14ac:dyDescent="0.25">
      <c r="F1120" s="268"/>
    </row>
    <row r="1121" spans="6:6" x14ac:dyDescent="0.25">
      <c r="F1121" s="268"/>
    </row>
    <row r="1122" spans="6:6" x14ac:dyDescent="0.25">
      <c r="F1122" s="268"/>
    </row>
    <row r="1123" spans="6:6" x14ac:dyDescent="0.25">
      <c r="F1123" s="268"/>
    </row>
    <row r="1124" spans="6:6" x14ac:dyDescent="0.25">
      <c r="F1124" s="268"/>
    </row>
    <row r="1125" spans="6:6" x14ac:dyDescent="0.25">
      <c r="F1125" s="268"/>
    </row>
    <row r="1126" spans="6:6" x14ac:dyDescent="0.25">
      <c r="F1126" s="268"/>
    </row>
    <row r="1127" spans="6:6" x14ac:dyDescent="0.25">
      <c r="F1127" s="268"/>
    </row>
    <row r="1128" spans="6:6" x14ac:dyDescent="0.25">
      <c r="F1128" s="268"/>
    </row>
    <row r="1129" spans="6:6" x14ac:dyDescent="0.25">
      <c r="F1129" s="268"/>
    </row>
    <row r="1130" spans="6:6" x14ac:dyDescent="0.25">
      <c r="F1130" s="268"/>
    </row>
    <row r="1131" spans="6:6" x14ac:dyDescent="0.25">
      <c r="F1131" s="268"/>
    </row>
    <row r="1132" spans="6:6" x14ac:dyDescent="0.25">
      <c r="F1132" s="268"/>
    </row>
    <row r="1133" spans="6:6" x14ac:dyDescent="0.25">
      <c r="F1133" s="268"/>
    </row>
    <row r="1134" spans="6:6" x14ac:dyDescent="0.25">
      <c r="F1134" s="268"/>
    </row>
    <row r="1135" spans="6:6" x14ac:dyDescent="0.25">
      <c r="F1135" s="268"/>
    </row>
    <row r="1136" spans="6:6" x14ac:dyDescent="0.25">
      <c r="F1136" s="268"/>
    </row>
    <row r="1137" spans="6:6" x14ac:dyDescent="0.25">
      <c r="F1137" s="268"/>
    </row>
    <row r="1138" spans="6:6" x14ac:dyDescent="0.25">
      <c r="F1138" s="268"/>
    </row>
    <row r="1139" spans="6:6" x14ac:dyDescent="0.25">
      <c r="F1139" s="268"/>
    </row>
    <row r="1140" spans="6:6" x14ac:dyDescent="0.25">
      <c r="F1140" s="268"/>
    </row>
    <row r="1141" spans="6:6" x14ac:dyDescent="0.25">
      <c r="F1141" s="268"/>
    </row>
    <row r="1142" spans="6:6" x14ac:dyDescent="0.25">
      <c r="F1142" s="268"/>
    </row>
    <row r="1143" spans="6:6" x14ac:dyDescent="0.25">
      <c r="F1143" s="268"/>
    </row>
    <row r="1144" spans="6:6" x14ac:dyDescent="0.25">
      <c r="F1144" s="268"/>
    </row>
    <row r="1145" spans="6:6" x14ac:dyDescent="0.25">
      <c r="F1145" s="268"/>
    </row>
    <row r="1146" spans="6:6" x14ac:dyDescent="0.25">
      <c r="F1146" s="268"/>
    </row>
    <row r="1147" spans="6:6" x14ac:dyDescent="0.25">
      <c r="F1147" s="268"/>
    </row>
    <row r="1148" spans="6:6" x14ac:dyDescent="0.25">
      <c r="F1148" s="268"/>
    </row>
    <row r="1149" spans="6:6" x14ac:dyDescent="0.25">
      <c r="F1149" s="268"/>
    </row>
    <row r="1150" spans="6:6" x14ac:dyDescent="0.25">
      <c r="F1150" s="268"/>
    </row>
    <row r="1151" spans="6:6" x14ac:dyDescent="0.25">
      <c r="F1151" s="268"/>
    </row>
    <row r="1152" spans="6:6" x14ac:dyDescent="0.25">
      <c r="F1152" s="268"/>
    </row>
    <row r="1153" spans="6:6" x14ac:dyDescent="0.25">
      <c r="F1153" s="268"/>
    </row>
    <row r="1154" spans="6:6" x14ac:dyDescent="0.25">
      <c r="F1154" s="268"/>
    </row>
    <row r="1155" spans="6:6" x14ac:dyDescent="0.25">
      <c r="F1155" s="268"/>
    </row>
    <row r="1156" spans="6:6" x14ac:dyDescent="0.25">
      <c r="F1156" s="268"/>
    </row>
    <row r="1157" spans="6:6" x14ac:dyDescent="0.25">
      <c r="F1157" s="268"/>
    </row>
    <row r="1158" spans="6:6" x14ac:dyDescent="0.25">
      <c r="F1158" s="268"/>
    </row>
    <row r="1159" spans="6:6" x14ac:dyDescent="0.25">
      <c r="F1159" s="268"/>
    </row>
    <row r="1160" spans="6:6" x14ac:dyDescent="0.25">
      <c r="F1160" s="268"/>
    </row>
    <row r="1161" spans="6:6" x14ac:dyDescent="0.25">
      <c r="F1161" s="268"/>
    </row>
    <row r="1162" spans="6:6" x14ac:dyDescent="0.25">
      <c r="F1162" s="268"/>
    </row>
    <row r="1163" spans="6:6" x14ac:dyDescent="0.25">
      <c r="F1163" s="268"/>
    </row>
    <row r="1164" spans="6:6" x14ac:dyDescent="0.25">
      <c r="F1164" s="268"/>
    </row>
    <row r="1165" spans="6:6" x14ac:dyDescent="0.25">
      <c r="F1165" s="268"/>
    </row>
    <row r="1166" spans="6:6" x14ac:dyDescent="0.25">
      <c r="F1166" s="268"/>
    </row>
    <row r="1167" spans="6:6" x14ac:dyDescent="0.25">
      <c r="F1167" s="268"/>
    </row>
    <row r="1168" spans="6:6" x14ac:dyDescent="0.25">
      <c r="F1168" s="268"/>
    </row>
    <row r="1169" spans="6:6" x14ac:dyDescent="0.25">
      <c r="F1169" s="268"/>
    </row>
    <row r="1170" spans="6:6" x14ac:dyDescent="0.25">
      <c r="F1170" s="268"/>
    </row>
    <row r="1171" spans="6:6" x14ac:dyDescent="0.25">
      <c r="F1171" s="268"/>
    </row>
    <row r="1172" spans="6:6" x14ac:dyDescent="0.25">
      <c r="F1172" s="268"/>
    </row>
    <row r="1173" spans="6:6" x14ac:dyDescent="0.25">
      <c r="F1173" s="268"/>
    </row>
    <row r="1174" spans="6:6" x14ac:dyDescent="0.25">
      <c r="F1174" s="268"/>
    </row>
    <row r="1175" spans="6:6" x14ac:dyDescent="0.25">
      <c r="F1175" s="268"/>
    </row>
    <row r="1176" spans="6:6" x14ac:dyDescent="0.25">
      <c r="F1176" s="268"/>
    </row>
    <row r="1177" spans="6:6" x14ac:dyDescent="0.25">
      <c r="F1177" s="268"/>
    </row>
    <row r="1178" spans="6:6" x14ac:dyDescent="0.25">
      <c r="F1178" s="268"/>
    </row>
    <row r="1179" spans="6:6" x14ac:dyDescent="0.25">
      <c r="F1179" s="268"/>
    </row>
    <row r="1180" spans="6:6" x14ac:dyDescent="0.25">
      <c r="F1180" s="268"/>
    </row>
    <row r="1181" spans="6:6" x14ac:dyDescent="0.25">
      <c r="F1181" s="268"/>
    </row>
    <row r="1182" spans="6:6" x14ac:dyDescent="0.25">
      <c r="F1182" s="268"/>
    </row>
    <row r="1183" spans="6:6" x14ac:dyDescent="0.25">
      <c r="F1183" s="268"/>
    </row>
    <row r="1184" spans="6:6" x14ac:dyDescent="0.25">
      <c r="F1184" s="268"/>
    </row>
    <row r="1185" spans="6:6" x14ac:dyDescent="0.25">
      <c r="F1185" s="268"/>
    </row>
    <row r="1186" spans="6:6" x14ac:dyDescent="0.25">
      <c r="F1186" s="268"/>
    </row>
    <row r="1187" spans="6:6" x14ac:dyDescent="0.25">
      <c r="F1187" s="268"/>
    </row>
    <row r="1188" spans="6:6" x14ac:dyDescent="0.25">
      <c r="F1188" s="268"/>
    </row>
    <row r="1189" spans="6:6" x14ac:dyDescent="0.25">
      <c r="F1189" s="268"/>
    </row>
    <row r="1190" spans="6:6" x14ac:dyDescent="0.25">
      <c r="F1190" s="268"/>
    </row>
    <row r="1191" spans="6:6" x14ac:dyDescent="0.25">
      <c r="F1191" s="268"/>
    </row>
    <row r="1192" spans="6:6" x14ac:dyDescent="0.25">
      <c r="F1192" s="268"/>
    </row>
    <row r="1193" spans="6:6" x14ac:dyDescent="0.25">
      <c r="F1193" s="268"/>
    </row>
    <row r="1194" spans="6:6" x14ac:dyDescent="0.25">
      <c r="F1194" s="268"/>
    </row>
    <row r="1195" spans="6:6" x14ac:dyDescent="0.25">
      <c r="F1195" s="268"/>
    </row>
    <row r="1196" spans="6:6" x14ac:dyDescent="0.25">
      <c r="F1196" s="268"/>
    </row>
    <row r="1197" spans="6:6" x14ac:dyDescent="0.25">
      <c r="F1197" s="268"/>
    </row>
    <row r="1198" spans="6:6" x14ac:dyDescent="0.25">
      <c r="F1198" s="268"/>
    </row>
    <row r="1199" spans="6:6" x14ac:dyDescent="0.25">
      <c r="F1199" s="268"/>
    </row>
    <row r="1200" spans="6:6" x14ac:dyDescent="0.25">
      <c r="F1200" s="268"/>
    </row>
    <row r="1201" spans="6:6" x14ac:dyDescent="0.25">
      <c r="F1201" s="268"/>
    </row>
    <row r="1202" spans="6:6" x14ac:dyDescent="0.25">
      <c r="F1202" s="268"/>
    </row>
    <row r="1203" spans="6:6" x14ac:dyDescent="0.25">
      <c r="F1203" s="268"/>
    </row>
    <row r="1204" spans="6:6" x14ac:dyDescent="0.25">
      <c r="F1204" s="268"/>
    </row>
    <row r="1205" spans="6:6" x14ac:dyDescent="0.25">
      <c r="F1205" s="268"/>
    </row>
    <row r="1206" spans="6:6" x14ac:dyDescent="0.25">
      <c r="F1206" s="268"/>
    </row>
    <row r="1207" spans="6:6" x14ac:dyDescent="0.25">
      <c r="F1207" s="268"/>
    </row>
    <row r="1208" spans="6:6" x14ac:dyDescent="0.25">
      <c r="F1208" s="268"/>
    </row>
    <row r="1209" spans="6:6" x14ac:dyDescent="0.25">
      <c r="F1209" s="268"/>
    </row>
    <row r="1210" spans="6:6" x14ac:dyDescent="0.25">
      <c r="F1210" s="268"/>
    </row>
    <row r="1211" spans="6:6" x14ac:dyDescent="0.25">
      <c r="F1211" s="268"/>
    </row>
    <row r="1212" spans="6:6" x14ac:dyDescent="0.25">
      <c r="F1212" s="268"/>
    </row>
    <row r="1213" spans="6:6" x14ac:dyDescent="0.25">
      <c r="F1213" s="268"/>
    </row>
    <row r="1214" spans="6:6" x14ac:dyDescent="0.25">
      <c r="F1214" s="268"/>
    </row>
    <row r="1215" spans="6:6" x14ac:dyDescent="0.25">
      <c r="F1215" s="268"/>
    </row>
    <row r="1216" spans="6:6" x14ac:dyDescent="0.25">
      <c r="F1216" s="268"/>
    </row>
    <row r="1217" spans="6:6" x14ac:dyDescent="0.25">
      <c r="F1217" s="268"/>
    </row>
    <row r="1218" spans="6:6" x14ac:dyDescent="0.25">
      <c r="F1218" s="268"/>
    </row>
    <row r="1219" spans="6:6" x14ac:dyDescent="0.25">
      <c r="F1219" s="268"/>
    </row>
    <row r="1220" spans="6:6" x14ac:dyDescent="0.25">
      <c r="F1220" s="268"/>
    </row>
    <row r="1221" spans="6:6" x14ac:dyDescent="0.25">
      <c r="F1221" s="268"/>
    </row>
    <row r="1222" spans="6:6" x14ac:dyDescent="0.25">
      <c r="F1222" s="268"/>
    </row>
    <row r="1223" spans="6:6" x14ac:dyDescent="0.25">
      <c r="F1223" s="268"/>
    </row>
    <row r="1224" spans="6:6" x14ac:dyDescent="0.25">
      <c r="F1224" s="268"/>
    </row>
    <row r="1225" spans="6:6" x14ac:dyDescent="0.25">
      <c r="F1225" s="268"/>
    </row>
    <row r="1226" spans="6:6" x14ac:dyDescent="0.25">
      <c r="F1226" s="268"/>
    </row>
    <row r="1227" spans="6:6" x14ac:dyDescent="0.25">
      <c r="F1227" s="268"/>
    </row>
    <row r="1228" spans="6:6" x14ac:dyDescent="0.25">
      <c r="F1228" s="268"/>
    </row>
    <row r="1229" spans="6:6" x14ac:dyDescent="0.25">
      <c r="F1229" s="268"/>
    </row>
    <row r="1230" spans="6:6" x14ac:dyDescent="0.25">
      <c r="F1230" s="268"/>
    </row>
    <row r="1231" spans="6:6" x14ac:dyDescent="0.25">
      <c r="F1231" s="268"/>
    </row>
    <row r="1232" spans="6:6" x14ac:dyDescent="0.25">
      <c r="F1232" s="268"/>
    </row>
    <row r="1233" spans="6:6" x14ac:dyDescent="0.25">
      <c r="F1233" s="268"/>
    </row>
    <row r="1234" spans="6:6" x14ac:dyDescent="0.25">
      <c r="F1234" s="268"/>
    </row>
    <row r="1235" spans="6:6" x14ac:dyDescent="0.25">
      <c r="F1235" s="268"/>
    </row>
    <row r="1236" spans="6:6" x14ac:dyDescent="0.25">
      <c r="F1236" s="268"/>
    </row>
    <row r="1237" spans="6:6" x14ac:dyDescent="0.25">
      <c r="F1237" s="268"/>
    </row>
    <row r="1238" spans="6:6" x14ac:dyDescent="0.25">
      <c r="F1238" s="268"/>
    </row>
    <row r="1239" spans="6:6" x14ac:dyDescent="0.25">
      <c r="F1239" s="268"/>
    </row>
    <row r="1240" spans="6:6" x14ac:dyDescent="0.25">
      <c r="F1240" s="268"/>
    </row>
    <row r="1241" spans="6:6" x14ac:dyDescent="0.25">
      <c r="F1241" s="268"/>
    </row>
    <row r="1242" spans="6:6" x14ac:dyDescent="0.25">
      <c r="F1242" s="268"/>
    </row>
    <row r="1243" spans="6:6" x14ac:dyDescent="0.25">
      <c r="F1243" s="268"/>
    </row>
    <row r="1244" spans="6:6" x14ac:dyDescent="0.25">
      <c r="F1244" s="268"/>
    </row>
    <row r="1245" spans="6:6" x14ac:dyDescent="0.25">
      <c r="F1245" s="268"/>
    </row>
    <row r="1246" spans="6:6" x14ac:dyDescent="0.25">
      <c r="F1246" s="268"/>
    </row>
    <row r="1247" spans="6:6" x14ac:dyDescent="0.25">
      <c r="F1247" s="268"/>
    </row>
    <row r="1248" spans="6:6" x14ac:dyDescent="0.25">
      <c r="F1248" s="268"/>
    </row>
    <row r="1249" spans="6:6" x14ac:dyDescent="0.25">
      <c r="F1249" s="268"/>
    </row>
    <row r="1250" spans="6:6" x14ac:dyDescent="0.25">
      <c r="F1250" s="268"/>
    </row>
    <row r="1251" spans="6:6" x14ac:dyDescent="0.25">
      <c r="F1251" s="268"/>
    </row>
    <row r="1252" spans="6:6" x14ac:dyDescent="0.25">
      <c r="F1252" s="268"/>
    </row>
    <row r="1253" spans="6:6" x14ac:dyDescent="0.25">
      <c r="F1253" s="268"/>
    </row>
    <row r="1254" spans="6:6" x14ac:dyDescent="0.25">
      <c r="F1254" s="268"/>
    </row>
    <row r="1255" spans="6:6" x14ac:dyDescent="0.25">
      <c r="F1255" s="268"/>
    </row>
    <row r="1256" spans="6:6" x14ac:dyDescent="0.25">
      <c r="F1256" s="268"/>
    </row>
    <row r="1257" spans="6:6" x14ac:dyDescent="0.25">
      <c r="F1257" s="268"/>
    </row>
    <row r="1258" spans="6:6" x14ac:dyDescent="0.25">
      <c r="F1258" s="268"/>
    </row>
    <row r="1259" spans="6:6" x14ac:dyDescent="0.25">
      <c r="F1259" s="268"/>
    </row>
    <row r="1260" spans="6:6" x14ac:dyDescent="0.25">
      <c r="F1260" s="268"/>
    </row>
    <row r="1261" spans="6:6" x14ac:dyDescent="0.25">
      <c r="F1261" s="268"/>
    </row>
    <row r="1262" spans="6:6" x14ac:dyDescent="0.25">
      <c r="F1262" s="268"/>
    </row>
    <row r="1263" spans="6:6" x14ac:dyDescent="0.25">
      <c r="F1263" s="268"/>
    </row>
    <row r="1264" spans="6:6" x14ac:dyDescent="0.25">
      <c r="F1264" s="268"/>
    </row>
    <row r="1265" spans="6:6" x14ac:dyDescent="0.25">
      <c r="F1265" s="268"/>
    </row>
    <row r="1266" spans="6:6" x14ac:dyDescent="0.25">
      <c r="F1266" s="268"/>
    </row>
    <row r="1267" spans="6:6" x14ac:dyDescent="0.25">
      <c r="F1267" s="268"/>
    </row>
    <row r="1268" spans="6:6" x14ac:dyDescent="0.25">
      <c r="F1268" s="268"/>
    </row>
    <row r="1269" spans="6:6" x14ac:dyDescent="0.25">
      <c r="F1269" s="268"/>
    </row>
    <row r="1270" spans="6:6" x14ac:dyDescent="0.25">
      <c r="F1270" s="268"/>
    </row>
    <row r="1271" spans="6:6" x14ac:dyDescent="0.25">
      <c r="F1271" s="268"/>
    </row>
    <row r="1272" spans="6:6" x14ac:dyDescent="0.25">
      <c r="F1272" s="268"/>
    </row>
    <row r="1273" spans="6:6" x14ac:dyDescent="0.25">
      <c r="F1273" s="268"/>
    </row>
    <row r="1274" spans="6:6" x14ac:dyDescent="0.25">
      <c r="F1274" s="268"/>
    </row>
    <row r="1275" spans="6:6" x14ac:dyDescent="0.25">
      <c r="F1275" s="268"/>
    </row>
    <row r="1276" spans="6:6" x14ac:dyDescent="0.25">
      <c r="F1276" s="268"/>
    </row>
    <row r="1277" spans="6:6" x14ac:dyDescent="0.25">
      <c r="F1277" s="268"/>
    </row>
    <row r="1278" spans="6:6" x14ac:dyDescent="0.25">
      <c r="F1278" s="268"/>
    </row>
    <row r="1279" spans="6:6" x14ac:dyDescent="0.25">
      <c r="F1279" s="268"/>
    </row>
    <row r="1280" spans="6:6" x14ac:dyDescent="0.25">
      <c r="F1280" s="268"/>
    </row>
    <row r="1281" spans="6:6" x14ac:dyDescent="0.25">
      <c r="F1281" s="268"/>
    </row>
    <row r="1282" spans="6:6" x14ac:dyDescent="0.25">
      <c r="F1282" s="268"/>
    </row>
    <row r="1283" spans="6:6" x14ac:dyDescent="0.25">
      <c r="F1283" s="268"/>
    </row>
    <row r="1284" spans="6:6" x14ac:dyDescent="0.25">
      <c r="F1284" s="268"/>
    </row>
    <row r="1285" spans="6:6" x14ac:dyDescent="0.25">
      <c r="F1285" s="268"/>
    </row>
    <row r="1286" spans="6:6" x14ac:dyDescent="0.25">
      <c r="F1286" s="268"/>
    </row>
    <row r="1287" spans="6:6" x14ac:dyDescent="0.25">
      <c r="F1287" s="268"/>
    </row>
    <row r="1288" spans="6:6" x14ac:dyDescent="0.25">
      <c r="F1288" s="268"/>
    </row>
    <row r="1289" spans="6:6" x14ac:dyDescent="0.25">
      <c r="F1289" s="268"/>
    </row>
    <row r="1290" spans="6:6" x14ac:dyDescent="0.25">
      <c r="F1290" s="268"/>
    </row>
    <row r="1291" spans="6:6" x14ac:dyDescent="0.25">
      <c r="F1291" s="268"/>
    </row>
    <row r="1292" spans="6:6" x14ac:dyDescent="0.25">
      <c r="F1292" s="268"/>
    </row>
    <row r="1293" spans="6:6" x14ac:dyDescent="0.25">
      <c r="F1293" s="268"/>
    </row>
    <row r="1294" spans="6:6" x14ac:dyDescent="0.25">
      <c r="F1294" s="268"/>
    </row>
    <row r="1295" spans="6:6" x14ac:dyDescent="0.25">
      <c r="F1295" s="268"/>
    </row>
    <row r="1296" spans="6:6" x14ac:dyDescent="0.25">
      <c r="F1296" s="268"/>
    </row>
    <row r="1297" spans="6:6" x14ac:dyDescent="0.25">
      <c r="F1297" s="268"/>
    </row>
    <row r="1298" spans="6:6" x14ac:dyDescent="0.25">
      <c r="F1298" s="268"/>
    </row>
    <row r="1299" spans="6:6" x14ac:dyDescent="0.25">
      <c r="F1299" s="268"/>
    </row>
    <row r="1300" spans="6:6" x14ac:dyDescent="0.25">
      <c r="F1300" s="268"/>
    </row>
    <row r="1301" spans="6:6" x14ac:dyDescent="0.25">
      <c r="F1301" s="268"/>
    </row>
    <row r="1302" spans="6:6" x14ac:dyDescent="0.25">
      <c r="F1302" s="268"/>
    </row>
    <row r="1303" spans="6:6" x14ac:dyDescent="0.25">
      <c r="F1303" s="268"/>
    </row>
    <row r="1304" spans="6:6" x14ac:dyDescent="0.25">
      <c r="F1304" s="268"/>
    </row>
    <row r="1305" spans="6:6" x14ac:dyDescent="0.25">
      <c r="F1305" s="268"/>
    </row>
    <row r="1306" spans="6:6" x14ac:dyDescent="0.25">
      <c r="F1306" s="268"/>
    </row>
    <row r="1307" spans="6:6" x14ac:dyDescent="0.25">
      <c r="F1307" s="268"/>
    </row>
    <row r="1308" spans="6:6" x14ac:dyDescent="0.25">
      <c r="F1308" s="268"/>
    </row>
    <row r="1309" spans="6:6" x14ac:dyDescent="0.25">
      <c r="F1309" s="268"/>
    </row>
    <row r="1310" spans="6:6" x14ac:dyDescent="0.25">
      <c r="F1310" s="268"/>
    </row>
    <row r="1311" spans="6:6" x14ac:dyDescent="0.25">
      <c r="F1311" s="268"/>
    </row>
    <row r="1312" spans="6:6" x14ac:dyDescent="0.25">
      <c r="F1312" s="268"/>
    </row>
    <row r="1313" spans="6:6" x14ac:dyDescent="0.25">
      <c r="F1313" s="268"/>
    </row>
    <row r="1314" spans="6:6" x14ac:dyDescent="0.25">
      <c r="F1314" s="268"/>
    </row>
    <row r="1315" spans="6:6" x14ac:dyDescent="0.25">
      <c r="F1315" s="268"/>
    </row>
    <row r="1316" spans="6:6" x14ac:dyDescent="0.25">
      <c r="F1316" s="268"/>
    </row>
    <row r="1317" spans="6:6" x14ac:dyDescent="0.25">
      <c r="F1317" s="268"/>
    </row>
    <row r="1318" spans="6:6" x14ac:dyDescent="0.25">
      <c r="F1318" s="268"/>
    </row>
    <row r="1319" spans="6:6" x14ac:dyDescent="0.25">
      <c r="F1319" s="268"/>
    </row>
    <row r="1320" spans="6:6" x14ac:dyDescent="0.25">
      <c r="F1320" s="268"/>
    </row>
    <row r="1321" spans="6:6" x14ac:dyDescent="0.25">
      <c r="F1321" s="268"/>
    </row>
    <row r="1322" spans="6:6" x14ac:dyDescent="0.25">
      <c r="F1322" s="268"/>
    </row>
    <row r="1323" spans="6:6" x14ac:dyDescent="0.25">
      <c r="F1323" s="268"/>
    </row>
    <row r="1324" spans="6:6" x14ac:dyDescent="0.25">
      <c r="F1324" s="268"/>
    </row>
    <row r="1325" spans="6:6" x14ac:dyDescent="0.25">
      <c r="F1325" s="268"/>
    </row>
    <row r="1326" spans="6:6" x14ac:dyDescent="0.25">
      <c r="F1326" s="268"/>
    </row>
    <row r="1327" spans="6:6" x14ac:dyDescent="0.25">
      <c r="F1327" s="268"/>
    </row>
    <row r="1328" spans="6:6" x14ac:dyDescent="0.25">
      <c r="F1328" s="268"/>
    </row>
    <row r="1329" spans="6:6" x14ac:dyDescent="0.25">
      <c r="F1329" s="268"/>
    </row>
    <row r="1330" spans="6:6" x14ac:dyDescent="0.25">
      <c r="F1330" s="268"/>
    </row>
    <row r="1331" spans="6:6" x14ac:dyDescent="0.25">
      <c r="F1331" s="268"/>
    </row>
    <row r="1332" spans="6:6" x14ac:dyDescent="0.25">
      <c r="F1332" s="268"/>
    </row>
    <row r="1333" spans="6:6" x14ac:dyDescent="0.25">
      <c r="F1333" s="268"/>
    </row>
    <row r="1334" spans="6:6" x14ac:dyDescent="0.25">
      <c r="F1334" s="268"/>
    </row>
    <row r="1335" spans="6:6" x14ac:dyDescent="0.25">
      <c r="F1335" s="268"/>
    </row>
    <row r="1336" spans="6:6" x14ac:dyDescent="0.25">
      <c r="F1336" s="268"/>
    </row>
    <row r="1337" spans="6:6" x14ac:dyDescent="0.25">
      <c r="F1337" s="268"/>
    </row>
    <row r="1338" spans="6:6" x14ac:dyDescent="0.25">
      <c r="F1338" s="268"/>
    </row>
    <row r="1339" spans="6:6" x14ac:dyDescent="0.25">
      <c r="F1339" s="268"/>
    </row>
    <row r="1340" spans="6:6" x14ac:dyDescent="0.25">
      <c r="F1340" s="268"/>
    </row>
    <row r="1341" spans="6:6" x14ac:dyDescent="0.25">
      <c r="F1341" s="268"/>
    </row>
    <row r="1342" spans="6:6" x14ac:dyDescent="0.25">
      <c r="F1342" s="268"/>
    </row>
    <row r="1343" spans="6:6" x14ac:dyDescent="0.25">
      <c r="F1343" s="268"/>
    </row>
    <row r="1344" spans="6:6" x14ac:dyDescent="0.25">
      <c r="F1344" s="268"/>
    </row>
    <row r="1345" spans="6:6" x14ac:dyDescent="0.25">
      <c r="F1345" s="268"/>
    </row>
    <row r="1346" spans="6:6" x14ac:dyDescent="0.25">
      <c r="F1346" s="268"/>
    </row>
    <row r="1347" spans="6:6" x14ac:dyDescent="0.25">
      <c r="F1347" s="268"/>
    </row>
    <row r="1348" spans="6:6" x14ac:dyDescent="0.25">
      <c r="F1348" s="268"/>
    </row>
    <row r="1349" spans="6:6" x14ac:dyDescent="0.25">
      <c r="F1349" s="268"/>
    </row>
    <row r="1350" spans="6:6" x14ac:dyDescent="0.25">
      <c r="F1350" s="268"/>
    </row>
    <row r="1351" spans="6:6" x14ac:dyDescent="0.25">
      <c r="F1351" s="268"/>
    </row>
    <row r="1352" spans="6:6" x14ac:dyDescent="0.25">
      <c r="F1352" s="268"/>
    </row>
    <row r="1353" spans="6:6" x14ac:dyDescent="0.25">
      <c r="F1353" s="268"/>
    </row>
    <row r="1354" spans="6:6" x14ac:dyDescent="0.25">
      <c r="F1354" s="268"/>
    </row>
    <row r="1355" spans="6:6" x14ac:dyDescent="0.25">
      <c r="F1355" s="268"/>
    </row>
    <row r="1356" spans="6:6" x14ac:dyDescent="0.25">
      <c r="F1356" s="268"/>
    </row>
    <row r="1357" spans="6:6" x14ac:dyDescent="0.25">
      <c r="F1357" s="268"/>
    </row>
    <row r="1358" spans="6:6" x14ac:dyDescent="0.25">
      <c r="F1358" s="268"/>
    </row>
    <row r="1359" spans="6:6" x14ac:dyDescent="0.25">
      <c r="F1359" s="268"/>
    </row>
    <row r="1360" spans="6:6" x14ac:dyDescent="0.25">
      <c r="F1360" s="268"/>
    </row>
    <row r="1361" spans="6:6" x14ac:dyDescent="0.25">
      <c r="F1361" s="268"/>
    </row>
    <row r="1362" spans="6:6" x14ac:dyDescent="0.25">
      <c r="F1362" s="268"/>
    </row>
    <row r="1363" spans="6:6" x14ac:dyDescent="0.25">
      <c r="F1363" s="268"/>
    </row>
    <row r="1364" spans="6:6" x14ac:dyDescent="0.25">
      <c r="F1364" s="268"/>
    </row>
    <row r="1365" spans="6:6" x14ac:dyDescent="0.25">
      <c r="F1365" s="268"/>
    </row>
    <row r="1366" spans="6:6" x14ac:dyDescent="0.25">
      <c r="F1366" s="268"/>
    </row>
    <row r="1367" spans="6:6" x14ac:dyDescent="0.25">
      <c r="F1367" s="268"/>
    </row>
    <row r="1368" spans="6:6" x14ac:dyDescent="0.25">
      <c r="F1368" s="268"/>
    </row>
    <row r="1369" spans="6:6" x14ac:dyDescent="0.25">
      <c r="F1369" s="268"/>
    </row>
    <row r="1370" spans="6:6" x14ac:dyDescent="0.25">
      <c r="F1370" s="268"/>
    </row>
    <row r="1371" spans="6:6" x14ac:dyDescent="0.25">
      <c r="F1371" s="268"/>
    </row>
    <row r="1372" spans="6:6" x14ac:dyDescent="0.25">
      <c r="F1372" s="268"/>
    </row>
    <row r="1373" spans="6:6" x14ac:dyDescent="0.25">
      <c r="F1373" s="268"/>
    </row>
    <row r="1374" spans="6:6" x14ac:dyDescent="0.25">
      <c r="F1374" s="268"/>
    </row>
    <row r="1375" spans="6:6" x14ac:dyDescent="0.25">
      <c r="F1375" s="268"/>
    </row>
    <row r="1376" spans="6:6" x14ac:dyDescent="0.25">
      <c r="F1376" s="268"/>
    </row>
    <row r="1377" spans="6:6" x14ac:dyDescent="0.25">
      <c r="F1377" s="268"/>
    </row>
    <row r="1378" spans="6:6" x14ac:dyDescent="0.25">
      <c r="F1378" s="268"/>
    </row>
    <row r="1379" spans="6:6" x14ac:dyDescent="0.25">
      <c r="F1379" s="268"/>
    </row>
    <row r="1380" spans="6:6" x14ac:dyDescent="0.25">
      <c r="F1380" s="268"/>
    </row>
    <row r="1381" spans="6:6" x14ac:dyDescent="0.25">
      <c r="F1381" s="268"/>
    </row>
    <row r="1382" spans="6:6" x14ac:dyDescent="0.25">
      <c r="F1382" s="268"/>
    </row>
    <row r="1383" spans="6:6" x14ac:dyDescent="0.25">
      <c r="F1383" s="268"/>
    </row>
    <row r="1384" spans="6:6" x14ac:dyDescent="0.25">
      <c r="F1384" s="268"/>
    </row>
    <row r="1385" spans="6:6" x14ac:dyDescent="0.25">
      <c r="F1385" s="268"/>
    </row>
    <row r="1386" spans="6:6" x14ac:dyDescent="0.25">
      <c r="F1386" s="268"/>
    </row>
    <row r="1387" spans="6:6" x14ac:dyDescent="0.25">
      <c r="F1387" s="268"/>
    </row>
    <row r="1388" spans="6:6" x14ac:dyDescent="0.25">
      <c r="F1388" s="268"/>
    </row>
    <row r="1389" spans="6:6" x14ac:dyDescent="0.25">
      <c r="F1389" s="268"/>
    </row>
    <row r="1390" spans="6:6" x14ac:dyDescent="0.25">
      <c r="F1390" s="268"/>
    </row>
    <row r="1391" spans="6:6" x14ac:dyDescent="0.25">
      <c r="F1391" s="268"/>
    </row>
    <row r="1392" spans="6:6" x14ac:dyDescent="0.25">
      <c r="F1392" s="268"/>
    </row>
    <row r="1393" spans="6:6" x14ac:dyDescent="0.25">
      <c r="F1393" s="268"/>
    </row>
    <row r="1394" spans="6:6" x14ac:dyDescent="0.25">
      <c r="F1394" s="268"/>
    </row>
    <row r="1395" spans="6:6" x14ac:dyDescent="0.25">
      <c r="F1395" s="268"/>
    </row>
    <row r="1396" spans="6:6" x14ac:dyDescent="0.25">
      <c r="F1396" s="268"/>
    </row>
    <row r="1397" spans="6:6" x14ac:dyDescent="0.25">
      <c r="F1397" s="268"/>
    </row>
    <row r="1398" spans="6:6" x14ac:dyDescent="0.25">
      <c r="F1398" s="268"/>
    </row>
    <row r="1399" spans="6:6" x14ac:dyDescent="0.25">
      <c r="F1399" s="268"/>
    </row>
    <row r="1400" spans="6:6" x14ac:dyDescent="0.25">
      <c r="F1400" s="268"/>
    </row>
    <row r="1401" spans="6:6" x14ac:dyDescent="0.25">
      <c r="F1401" s="268"/>
    </row>
    <row r="1402" spans="6:6" x14ac:dyDescent="0.25">
      <c r="F1402" s="268"/>
    </row>
    <row r="1403" spans="6:6" x14ac:dyDescent="0.25">
      <c r="F1403" s="268"/>
    </row>
    <row r="1404" spans="6:6" x14ac:dyDescent="0.25">
      <c r="F1404" s="268"/>
    </row>
    <row r="1405" spans="6:6" x14ac:dyDescent="0.25">
      <c r="F1405" s="268"/>
    </row>
    <row r="1406" spans="6:6" x14ac:dyDescent="0.25">
      <c r="F1406" s="268"/>
    </row>
    <row r="1407" spans="6:6" x14ac:dyDescent="0.25">
      <c r="F1407" s="268"/>
    </row>
    <row r="1408" spans="6:6" x14ac:dyDescent="0.25">
      <c r="F1408" s="268"/>
    </row>
    <row r="1409" spans="6:6" x14ac:dyDescent="0.25">
      <c r="F1409" s="268"/>
    </row>
    <row r="1410" spans="6:6" x14ac:dyDescent="0.25">
      <c r="F1410" s="268"/>
    </row>
    <row r="1411" spans="6:6" x14ac:dyDescent="0.25">
      <c r="F1411" s="268"/>
    </row>
    <row r="1412" spans="6:6" x14ac:dyDescent="0.25">
      <c r="F1412" s="268"/>
    </row>
    <row r="1413" spans="6:6" x14ac:dyDescent="0.25">
      <c r="F1413" s="268"/>
    </row>
    <row r="1414" spans="6:6" x14ac:dyDescent="0.25">
      <c r="F1414" s="268"/>
    </row>
    <row r="1415" spans="6:6" x14ac:dyDescent="0.25">
      <c r="F1415" s="268"/>
    </row>
    <row r="1416" spans="6:6" x14ac:dyDescent="0.25">
      <c r="F1416" s="268"/>
    </row>
    <row r="1417" spans="6:6" x14ac:dyDescent="0.25">
      <c r="F1417" s="268"/>
    </row>
    <row r="1418" spans="6:6" x14ac:dyDescent="0.25">
      <c r="F1418" s="268"/>
    </row>
    <row r="1419" spans="6:6" x14ac:dyDescent="0.25">
      <c r="F1419" s="268"/>
    </row>
    <row r="1420" spans="6:6" x14ac:dyDescent="0.25">
      <c r="F1420" s="268"/>
    </row>
    <row r="1421" spans="6:6" x14ac:dyDescent="0.25">
      <c r="F1421" s="268"/>
    </row>
    <row r="1422" spans="6:6" x14ac:dyDescent="0.25">
      <c r="F1422" s="268"/>
    </row>
    <row r="1423" spans="6:6" x14ac:dyDescent="0.25">
      <c r="F1423" s="268"/>
    </row>
    <row r="1424" spans="6:6" x14ac:dyDescent="0.25">
      <c r="F1424" s="268"/>
    </row>
    <row r="1425" spans="6:6" x14ac:dyDescent="0.25">
      <c r="F1425" s="268"/>
    </row>
    <row r="1426" spans="6:6" x14ac:dyDescent="0.25">
      <c r="F1426" s="268"/>
    </row>
    <row r="1427" spans="6:6" x14ac:dyDescent="0.25">
      <c r="F1427" s="268"/>
    </row>
    <row r="1428" spans="6:6" x14ac:dyDescent="0.25">
      <c r="F1428" s="268"/>
    </row>
    <row r="1429" spans="6:6" x14ac:dyDescent="0.25">
      <c r="F1429" s="268"/>
    </row>
    <row r="1430" spans="6:6" x14ac:dyDescent="0.25">
      <c r="F1430" s="268"/>
    </row>
    <row r="1431" spans="6:6" x14ac:dyDescent="0.25">
      <c r="F1431" s="268"/>
    </row>
    <row r="1432" spans="6:6" x14ac:dyDescent="0.25">
      <c r="F1432" s="268"/>
    </row>
    <row r="1433" spans="6:6" x14ac:dyDescent="0.25">
      <c r="F1433" s="268"/>
    </row>
    <row r="1434" spans="6:6" x14ac:dyDescent="0.25">
      <c r="F1434" s="268"/>
    </row>
    <row r="1435" spans="6:6" x14ac:dyDescent="0.25">
      <c r="F1435" s="268"/>
    </row>
    <row r="1436" spans="6:6" x14ac:dyDescent="0.25">
      <c r="F1436" s="268"/>
    </row>
    <row r="1437" spans="6:6" x14ac:dyDescent="0.25">
      <c r="F1437" s="268"/>
    </row>
    <row r="1438" spans="6:6" x14ac:dyDescent="0.25">
      <c r="F1438" s="268"/>
    </row>
    <row r="1439" spans="6:6" x14ac:dyDescent="0.25">
      <c r="F1439" s="268"/>
    </row>
    <row r="1440" spans="6:6" x14ac:dyDescent="0.25">
      <c r="F1440" s="268"/>
    </row>
    <row r="1441" spans="6:6" x14ac:dyDescent="0.25">
      <c r="F1441" s="268"/>
    </row>
    <row r="1442" spans="6:6" x14ac:dyDescent="0.25">
      <c r="F1442" s="268"/>
    </row>
    <row r="1443" spans="6:6" x14ac:dyDescent="0.25">
      <c r="F1443" s="268"/>
    </row>
    <row r="1444" spans="6:6" x14ac:dyDescent="0.25">
      <c r="F1444" s="268"/>
    </row>
    <row r="1445" spans="6:6" x14ac:dyDescent="0.25">
      <c r="F1445" s="268"/>
    </row>
    <row r="1446" spans="6:6" x14ac:dyDescent="0.25">
      <c r="F1446" s="268"/>
    </row>
    <row r="1447" spans="6:6" x14ac:dyDescent="0.25">
      <c r="F1447" s="268"/>
    </row>
    <row r="1448" spans="6:6" x14ac:dyDescent="0.25">
      <c r="F1448" s="268"/>
    </row>
    <row r="1449" spans="6:6" x14ac:dyDescent="0.25">
      <c r="F1449" s="268"/>
    </row>
    <row r="1450" spans="6:6" x14ac:dyDescent="0.25">
      <c r="F1450" s="268"/>
    </row>
    <row r="1451" spans="6:6" x14ac:dyDescent="0.25">
      <c r="F1451" s="268"/>
    </row>
    <row r="1452" spans="6:6" x14ac:dyDescent="0.25">
      <c r="F1452" s="268"/>
    </row>
    <row r="1453" spans="6:6" x14ac:dyDescent="0.25">
      <c r="F1453" s="268"/>
    </row>
    <row r="1454" spans="6:6" x14ac:dyDescent="0.25">
      <c r="F1454" s="268"/>
    </row>
    <row r="1455" spans="6:6" x14ac:dyDescent="0.25">
      <c r="F1455" s="268"/>
    </row>
    <row r="1456" spans="6:6" x14ac:dyDescent="0.25">
      <c r="F1456" s="268"/>
    </row>
    <row r="1457" spans="6:6" x14ac:dyDescent="0.25">
      <c r="F1457" s="268"/>
    </row>
    <row r="1458" spans="6:6" x14ac:dyDescent="0.25">
      <c r="F1458" s="268"/>
    </row>
    <row r="1459" spans="6:6" x14ac:dyDescent="0.25">
      <c r="F1459" s="268"/>
    </row>
    <row r="1460" spans="6:6" x14ac:dyDescent="0.25">
      <c r="F1460" s="268"/>
    </row>
    <row r="1461" spans="6:6" x14ac:dyDescent="0.25">
      <c r="F1461" s="268"/>
    </row>
    <row r="1462" spans="6:6" x14ac:dyDescent="0.25">
      <c r="F1462" s="268"/>
    </row>
    <row r="1463" spans="6:6" x14ac:dyDescent="0.25">
      <c r="F1463" s="268"/>
    </row>
    <row r="1464" spans="6:6" x14ac:dyDescent="0.25">
      <c r="F1464" s="268"/>
    </row>
    <row r="1465" spans="6:6" x14ac:dyDescent="0.25">
      <c r="F1465" s="268"/>
    </row>
    <row r="1466" spans="6:6" x14ac:dyDescent="0.25">
      <c r="F1466" s="268"/>
    </row>
    <row r="1467" spans="6:6" x14ac:dyDescent="0.25">
      <c r="F1467" s="268"/>
    </row>
    <row r="1468" spans="6:6" x14ac:dyDescent="0.25">
      <c r="F1468" s="268"/>
    </row>
    <row r="1469" spans="6:6" x14ac:dyDescent="0.25">
      <c r="F1469" s="268"/>
    </row>
    <row r="1470" spans="6:6" x14ac:dyDescent="0.25">
      <c r="F1470" s="268"/>
    </row>
    <row r="1471" spans="6:6" x14ac:dyDescent="0.25">
      <c r="F1471" s="268"/>
    </row>
    <row r="1472" spans="6:6" x14ac:dyDescent="0.25">
      <c r="F1472" s="268"/>
    </row>
    <row r="1473" spans="6:6" x14ac:dyDescent="0.25">
      <c r="F1473" s="268"/>
    </row>
    <row r="1474" spans="6:6" x14ac:dyDescent="0.25">
      <c r="F1474" s="268"/>
    </row>
    <row r="1475" spans="6:6" x14ac:dyDescent="0.25">
      <c r="F1475" s="268"/>
    </row>
    <row r="1476" spans="6:6" x14ac:dyDescent="0.25">
      <c r="F1476" s="268"/>
    </row>
    <row r="1477" spans="6:6" x14ac:dyDescent="0.25">
      <c r="F1477" s="268"/>
    </row>
    <row r="1478" spans="6:6" x14ac:dyDescent="0.25">
      <c r="F1478" s="268"/>
    </row>
    <row r="1479" spans="6:6" x14ac:dyDescent="0.25">
      <c r="F1479" s="268"/>
    </row>
    <row r="1480" spans="6:6" x14ac:dyDescent="0.25">
      <c r="F1480" s="268"/>
    </row>
    <row r="1481" spans="6:6" x14ac:dyDescent="0.25">
      <c r="F1481" s="268"/>
    </row>
    <row r="1482" spans="6:6" x14ac:dyDescent="0.25">
      <c r="F1482" s="268"/>
    </row>
    <row r="1483" spans="6:6" x14ac:dyDescent="0.25">
      <c r="F1483" s="268"/>
    </row>
    <row r="1484" spans="6:6" x14ac:dyDescent="0.25">
      <c r="F1484" s="268"/>
    </row>
    <row r="1485" spans="6:6" x14ac:dyDescent="0.25">
      <c r="F1485" s="268"/>
    </row>
    <row r="1486" spans="6:6" x14ac:dyDescent="0.25">
      <c r="F1486" s="268"/>
    </row>
    <row r="1487" spans="6:6" x14ac:dyDescent="0.25">
      <c r="F1487" s="268"/>
    </row>
    <row r="1488" spans="6:6" x14ac:dyDescent="0.25">
      <c r="F1488" s="268"/>
    </row>
    <row r="1489" spans="6:6" x14ac:dyDescent="0.25">
      <c r="F1489" s="268"/>
    </row>
    <row r="1490" spans="6:6" x14ac:dyDescent="0.25">
      <c r="F1490" s="268"/>
    </row>
    <row r="1491" spans="6:6" x14ac:dyDescent="0.25">
      <c r="F1491" s="268"/>
    </row>
    <row r="1492" spans="6:6" x14ac:dyDescent="0.25">
      <c r="F1492" s="268"/>
    </row>
    <row r="1493" spans="6:6" x14ac:dyDescent="0.25">
      <c r="F1493" s="268"/>
    </row>
    <row r="1494" spans="6:6" x14ac:dyDescent="0.25">
      <c r="F1494" s="268"/>
    </row>
    <row r="1495" spans="6:6" x14ac:dyDescent="0.25">
      <c r="F1495" s="268"/>
    </row>
    <row r="1496" spans="6:6" x14ac:dyDescent="0.25">
      <c r="F1496" s="268"/>
    </row>
    <row r="1497" spans="6:6" x14ac:dyDescent="0.25">
      <c r="F1497" s="268"/>
    </row>
    <row r="1498" spans="6:6" x14ac:dyDescent="0.25">
      <c r="F1498" s="268"/>
    </row>
    <row r="1499" spans="6:6" x14ac:dyDescent="0.25">
      <c r="F1499" s="268"/>
    </row>
    <row r="1500" spans="6:6" x14ac:dyDescent="0.25">
      <c r="F1500" s="268"/>
    </row>
    <row r="1501" spans="6:6" x14ac:dyDescent="0.25">
      <c r="F1501" s="268"/>
    </row>
    <row r="1502" spans="6:6" x14ac:dyDescent="0.25">
      <c r="F1502" s="268"/>
    </row>
    <row r="1503" spans="6:6" x14ac:dyDescent="0.25">
      <c r="F1503" s="268"/>
    </row>
    <row r="1504" spans="6:6" x14ac:dyDescent="0.25">
      <c r="F1504" s="268"/>
    </row>
    <row r="1505" spans="6:6" x14ac:dyDescent="0.25">
      <c r="F1505" s="268"/>
    </row>
    <row r="1506" spans="6:6" x14ac:dyDescent="0.25">
      <c r="F1506" s="268"/>
    </row>
    <row r="1507" spans="6:6" x14ac:dyDescent="0.25">
      <c r="F1507" s="268"/>
    </row>
    <row r="1508" spans="6:6" x14ac:dyDescent="0.25">
      <c r="F1508" s="268"/>
    </row>
    <row r="1509" spans="6:6" x14ac:dyDescent="0.25">
      <c r="F1509" s="268"/>
    </row>
    <row r="1510" spans="6:6" x14ac:dyDescent="0.25">
      <c r="F1510" s="268"/>
    </row>
    <row r="1511" spans="6:6" x14ac:dyDescent="0.25">
      <c r="F1511" s="268"/>
    </row>
    <row r="1512" spans="6:6" x14ac:dyDescent="0.25">
      <c r="F1512" s="268"/>
    </row>
    <row r="1513" spans="6:6" x14ac:dyDescent="0.25">
      <c r="F1513" s="268"/>
    </row>
    <row r="1514" spans="6:6" x14ac:dyDescent="0.25">
      <c r="F1514" s="268"/>
    </row>
    <row r="1515" spans="6:6" x14ac:dyDescent="0.25">
      <c r="F1515" s="268"/>
    </row>
    <row r="1516" spans="6:6" x14ac:dyDescent="0.25">
      <c r="F1516" s="268"/>
    </row>
    <row r="1517" spans="6:6" x14ac:dyDescent="0.25">
      <c r="F1517" s="268"/>
    </row>
    <row r="1518" spans="6:6" x14ac:dyDescent="0.25">
      <c r="F1518" s="268"/>
    </row>
    <row r="1519" spans="6:6" x14ac:dyDescent="0.25">
      <c r="F1519" s="268"/>
    </row>
    <row r="1520" spans="6:6" x14ac:dyDescent="0.25">
      <c r="F1520" s="268"/>
    </row>
    <row r="1521" spans="6:6" x14ac:dyDescent="0.25">
      <c r="F1521" s="268"/>
    </row>
    <row r="1522" spans="6:6" x14ac:dyDescent="0.25">
      <c r="F1522" s="268"/>
    </row>
    <row r="1523" spans="6:6" x14ac:dyDescent="0.25">
      <c r="F1523" s="268"/>
    </row>
    <row r="1524" spans="6:6" x14ac:dyDescent="0.25">
      <c r="F1524" s="268"/>
    </row>
    <row r="1525" spans="6:6" x14ac:dyDescent="0.25">
      <c r="F1525" s="268"/>
    </row>
    <row r="1526" spans="6:6" x14ac:dyDescent="0.25">
      <c r="F1526" s="268"/>
    </row>
    <row r="1527" spans="6:6" x14ac:dyDescent="0.25">
      <c r="F1527" s="268"/>
    </row>
    <row r="1528" spans="6:6" x14ac:dyDescent="0.25">
      <c r="F1528" s="268"/>
    </row>
    <row r="1529" spans="6:6" x14ac:dyDescent="0.25">
      <c r="F1529" s="268"/>
    </row>
    <row r="1530" spans="6:6" x14ac:dyDescent="0.25">
      <c r="F1530" s="268"/>
    </row>
    <row r="1531" spans="6:6" x14ac:dyDescent="0.25">
      <c r="F1531" s="268"/>
    </row>
    <row r="1532" spans="6:6" x14ac:dyDescent="0.25">
      <c r="F1532" s="268"/>
    </row>
    <row r="1533" spans="6:6" x14ac:dyDescent="0.25">
      <c r="F1533" s="268"/>
    </row>
    <row r="1534" spans="6:6" x14ac:dyDescent="0.25">
      <c r="F1534" s="268"/>
    </row>
    <row r="1535" spans="6:6" x14ac:dyDescent="0.25">
      <c r="F1535" s="268"/>
    </row>
    <row r="1536" spans="6:6" x14ac:dyDescent="0.25">
      <c r="F1536" s="268"/>
    </row>
    <row r="1537" spans="6:6" x14ac:dyDescent="0.25">
      <c r="F1537" s="268"/>
    </row>
    <row r="1538" spans="6:6" x14ac:dyDescent="0.25">
      <c r="F1538" s="268"/>
    </row>
    <row r="1539" spans="6:6" x14ac:dyDescent="0.25">
      <c r="F1539" s="268"/>
    </row>
    <row r="1540" spans="6:6" x14ac:dyDescent="0.25">
      <c r="F1540" s="268"/>
    </row>
    <row r="1541" spans="6:6" x14ac:dyDescent="0.25">
      <c r="F1541" s="268"/>
    </row>
    <row r="1542" spans="6:6" x14ac:dyDescent="0.25">
      <c r="F1542" s="268"/>
    </row>
    <row r="1543" spans="6:6" x14ac:dyDescent="0.25">
      <c r="F1543" s="268"/>
    </row>
    <row r="1544" spans="6:6" x14ac:dyDescent="0.25">
      <c r="F1544" s="268"/>
    </row>
    <row r="1545" spans="6:6" x14ac:dyDescent="0.25">
      <c r="F1545" s="268"/>
    </row>
    <row r="1546" spans="6:6" x14ac:dyDescent="0.25">
      <c r="F1546" s="268"/>
    </row>
    <row r="1547" spans="6:6" x14ac:dyDescent="0.25">
      <c r="F1547" s="268"/>
    </row>
    <row r="1548" spans="6:6" x14ac:dyDescent="0.25">
      <c r="F1548" s="268"/>
    </row>
    <row r="1549" spans="6:6" x14ac:dyDescent="0.25">
      <c r="F1549" s="268"/>
    </row>
    <row r="1550" spans="6:6" x14ac:dyDescent="0.25">
      <c r="F1550" s="268"/>
    </row>
    <row r="1551" spans="6:6" x14ac:dyDescent="0.25">
      <c r="F1551" s="268"/>
    </row>
    <row r="1552" spans="6:6" x14ac:dyDescent="0.25">
      <c r="F1552" s="268"/>
    </row>
    <row r="1553" spans="6:6" x14ac:dyDescent="0.25">
      <c r="F1553" s="268"/>
    </row>
    <row r="1554" spans="6:6" x14ac:dyDescent="0.25">
      <c r="F1554" s="268"/>
    </row>
    <row r="1555" spans="6:6" x14ac:dyDescent="0.25">
      <c r="F1555" s="268"/>
    </row>
    <row r="1556" spans="6:6" x14ac:dyDescent="0.25">
      <c r="F1556" s="268"/>
    </row>
    <row r="1557" spans="6:6" x14ac:dyDescent="0.25">
      <c r="F1557" s="268"/>
    </row>
    <row r="1558" spans="6:6" x14ac:dyDescent="0.25">
      <c r="F1558" s="268"/>
    </row>
    <row r="1559" spans="6:6" x14ac:dyDescent="0.25">
      <c r="F1559" s="268"/>
    </row>
    <row r="1560" spans="6:6" x14ac:dyDescent="0.25">
      <c r="F1560" s="268"/>
    </row>
    <row r="1561" spans="6:6" x14ac:dyDescent="0.25">
      <c r="F1561" s="268"/>
    </row>
    <row r="1562" spans="6:6" x14ac:dyDescent="0.25">
      <c r="F1562" s="268"/>
    </row>
    <row r="1563" spans="6:6" x14ac:dyDescent="0.25">
      <c r="F1563" s="268"/>
    </row>
    <row r="1564" spans="6:6" x14ac:dyDescent="0.25">
      <c r="F1564" s="268"/>
    </row>
    <row r="1565" spans="6:6" x14ac:dyDescent="0.25">
      <c r="F1565" s="268"/>
    </row>
    <row r="1566" spans="6:6" x14ac:dyDescent="0.25">
      <c r="F1566" s="268"/>
    </row>
    <row r="1567" spans="6:6" x14ac:dyDescent="0.25">
      <c r="F1567" s="268"/>
    </row>
    <row r="1568" spans="6:6" x14ac:dyDescent="0.25">
      <c r="F1568" s="268"/>
    </row>
    <row r="1569" spans="6:6" x14ac:dyDescent="0.25">
      <c r="F1569" s="268"/>
    </row>
    <row r="1570" spans="6:6" x14ac:dyDescent="0.25">
      <c r="F1570" s="268"/>
    </row>
    <row r="1571" spans="6:6" x14ac:dyDescent="0.25">
      <c r="F1571" s="268"/>
    </row>
    <row r="1572" spans="6:6" x14ac:dyDescent="0.25">
      <c r="F1572" s="268"/>
    </row>
    <row r="1573" spans="6:6" x14ac:dyDescent="0.25">
      <c r="F1573" s="268"/>
    </row>
    <row r="1574" spans="6:6" x14ac:dyDescent="0.25">
      <c r="F1574" s="268"/>
    </row>
    <row r="1575" spans="6:6" x14ac:dyDescent="0.25">
      <c r="F1575" s="268"/>
    </row>
    <row r="1576" spans="6:6" x14ac:dyDescent="0.25">
      <c r="F1576" s="268"/>
    </row>
    <row r="1577" spans="6:6" x14ac:dyDescent="0.25">
      <c r="F1577" s="268"/>
    </row>
    <row r="1578" spans="6:6" x14ac:dyDescent="0.25">
      <c r="F1578" s="268"/>
    </row>
    <row r="1579" spans="6:6" x14ac:dyDescent="0.25">
      <c r="F1579" s="268"/>
    </row>
    <row r="1580" spans="6:6" x14ac:dyDescent="0.25">
      <c r="F1580" s="268"/>
    </row>
    <row r="1581" spans="6:6" x14ac:dyDescent="0.25">
      <c r="F1581" s="268"/>
    </row>
    <row r="1582" spans="6:6" x14ac:dyDescent="0.25">
      <c r="F1582" s="268"/>
    </row>
    <row r="1583" spans="6:6" x14ac:dyDescent="0.25">
      <c r="F1583" s="268"/>
    </row>
    <row r="1584" spans="6:6" x14ac:dyDescent="0.25">
      <c r="F1584" s="268"/>
    </row>
    <row r="1585" spans="6:6" x14ac:dyDescent="0.25">
      <c r="F1585" s="268"/>
    </row>
    <row r="1586" spans="6:6" x14ac:dyDescent="0.25">
      <c r="F1586" s="268"/>
    </row>
    <row r="1587" spans="6:6" x14ac:dyDescent="0.25">
      <c r="F1587" s="268"/>
    </row>
    <row r="1588" spans="6:6" x14ac:dyDescent="0.25">
      <c r="F1588" s="268"/>
    </row>
    <row r="1589" spans="6:6" x14ac:dyDescent="0.25">
      <c r="F1589" s="268"/>
    </row>
    <row r="1590" spans="6:6" x14ac:dyDescent="0.25">
      <c r="F1590" s="268"/>
    </row>
    <row r="1591" spans="6:6" x14ac:dyDescent="0.25">
      <c r="F1591" s="268"/>
    </row>
    <row r="1592" spans="6:6" x14ac:dyDescent="0.25">
      <c r="F1592" s="268"/>
    </row>
    <row r="1593" spans="6:6" x14ac:dyDescent="0.25">
      <c r="F1593" s="268"/>
    </row>
    <row r="1594" spans="6:6" x14ac:dyDescent="0.25">
      <c r="F1594" s="268"/>
    </row>
    <row r="1595" spans="6:6" x14ac:dyDescent="0.25">
      <c r="F1595" s="268"/>
    </row>
    <row r="1596" spans="6:6" x14ac:dyDescent="0.25">
      <c r="F1596" s="268"/>
    </row>
    <row r="1597" spans="6:6" x14ac:dyDescent="0.25">
      <c r="F1597" s="268"/>
    </row>
    <row r="1598" spans="6:6" x14ac:dyDescent="0.25">
      <c r="F1598" s="268"/>
    </row>
    <row r="1599" spans="6:6" x14ac:dyDescent="0.25">
      <c r="F1599" s="268"/>
    </row>
    <row r="1600" spans="6:6" x14ac:dyDescent="0.25">
      <c r="F1600" s="268"/>
    </row>
    <row r="1601" spans="6:6" x14ac:dyDescent="0.25">
      <c r="F1601" s="268"/>
    </row>
    <row r="1602" spans="6:6" x14ac:dyDescent="0.25">
      <c r="F1602" s="268"/>
    </row>
    <row r="1603" spans="6:6" x14ac:dyDescent="0.25">
      <c r="F1603" s="268"/>
    </row>
    <row r="1604" spans="6:6" x14ac:dyDescent="0.25">
      <c r="F1604" s="268"/>
    </row>
    <row r="1605" spans="6:6" x14ac:dyDescent="0.25">
      <c r="F1605" s="268"/>
    </row>
    <row r="1606" spans="6:6" x14ac:dyDescent="0.25">
      <c r="F1606" s="268"/>
    </row>
    <row r="1607" spans="6:6" x14ac:dyDescent="0.25">
      <c r="F1607" s="268"/>
    </row>
    <row r="1608" spans="6:6" x14ac:dyDescent="0.25">
      <c r="F1608" s="268"/>
    </row>
    <row r="1609" spans="6:6" x14ac:dyDescent="0.25">
      <c r="F1609" s="268"/>
    </row>
    <row r="1610" spans="6:6" x14ac:dyDescent="0.25">
      <c r="F1610" s="268"/>
    </row>
    <row r="1611" spans="6:6" x14ac:dyDescent="0.25">
      <c r="F1611" s="268"/>
    </row>
    <row r="1612" spans="6:6" x14ac:dyDescent="0.25">
      <c r="F1612" s="268"/>
    </row>
    <row r="1613" spans="6:6" x14ac:dyDescent="0.25">
      <c r="F1613" s="268"/>
    </row>
    <row r="1614" spans="6:6" x14ac:dyDescent="0.25">
      <c r="F1614" s="268"/>
    </row>
    <row r="1615" spans="6:6" x14ac:dyDescent="0.25">
      <c r="F1615" s="268"/>
    </row>
    <row r="1616" spans="6:6" x14ac:dyDescent="0.25">
      <c r="F1616" s="268"/>
    </row>
    <row r="1617" spans="6:6" x14ac:dyDescent="0.25">
      <c r="F1617" s="268"/>
    </row>
    <row r="1618" spans="6:6" x14ac:dyDescent="0.25">
      <c r="F1618" s="268"/>
    </row>
    <row r="1619" spans="6:6" x14ac:dyDescent="0.25">
      <c r="F1619" s="268"/>
    </row>
    <row r="1620" spans="6:6" x14ac:dyDescent="0.25">
      <c r="F1620" s="268"/>
    </row>
    <row r="1621" spans="6:6" x14ac:dyDescent="0.25">
      <c r="F1621" s="268"/>
    </row>
    <row r="1622" spans="6:6" x14ac:dyDescent="0.25">
      <c r="F1622" s="268"/>
    </row>
    <row r="1623" spans="6:6" x14ac:dyDescent="0.25">
      <c r="F1623" s="268"/>
    </row>
    <row r="1624" spans="6:6" x14ac:dyDescent="0.25">
      <c r="F1624" s="268"/>
    </row>
    <row r="1625" spans="6:6" x14ac:dyDescent="0.25">
      <c r="F1625" s="268"/>
    </row>
    <row r="1626" spans="6:6" x14ac:dyDescent="0.25">
      <c r="F1626" s="268"/>
    </row>
    <row r="1627" spans="6:6" x14ac:dyDescent="0.25">
      <c r="F1627" s="268"/>
    </row>
    <row r="1628" spans="6:6" x14ac:dyDescent="0.25">
      <c r="F1628" s="268"/>
    </row>
    <row r="1629" spans="6:6" x14ac:dyDescent="0.25">
      <c r="F1629" s="268"/>
    </row>
    <row r="1630" spans="6:6" x14ac:dyDescent="0.25">
      <c r="F1630" s="268"/>
    </row>
    <row r="1631" spans="6:6" x14ac:dyDescent="0.25">
      <c r="F1631" s="268"/>
    </row>
    <row r="1632" spans="6:6" x14ac:dyDescent="0.25">
      <c r="F1632" s="268"/>
    </row>
    <row r="1633" spans="6:6" x14ac:dyDescent="0.25">
      <c r="F1633" s="268"/>
    </row>
    <row r="1634" spans="6:6" x14ac:dyDescent="0.25">
      <c r="F1634" s="268"/>
    </row>
    <row r="1635" spans="6:6" x14ac:dyDescent="0.25">
      <c r="F1635" s="268"/>
    </row>
    <row r="1636" spans="6:6" x14ac:dyDescent="0.25">
      <c r="F1636" s="268"/>
    </row>
    <row r="1637" spans="6:6" x14ac:dyDescent="0.25">
      <c r="F1637" s="268"/>
    </row>
    <row r="1638" spans="6:6" x14ac:dyDescent="0.25">
      <c r="F1638" s="268"/>
    </row>
    <row r="1639" spans="6:6" x14ac:dyDescent="0.25">
      <c r="F1639" s="268"/>
    </row>
    <row r="1640" spans="6:6" x14ac:dyDescent="0.25">
      <c r="F1640" s="268"/>
    </row>
    <row r="1641" spans="6:6" x14ac:dyDescent="0.25">
      <c r="F1641" s="268"/>
    </row>
    <row r="1642" spans="6:6" x14ac:dyDescent="0.25">
      <c r="F1642" s="268"/>
    </row>
    <row r="1643" spans="6:6" x14ac:dyDescent="0.25">
      <c r="F1643" s="268"/>
    </row>
    <row r="1644" spans="6:6" x14ac:dyDescent="0.25">
      <c r="F1644" s="268"/>
    </row>
    <row r="1645" spans="6:6" x14ac:dyDescent="0.25">
      <c r="F1645" s="268"/>
    </row>
    <row r="1646" spans="6:6" x14ac:dyDescent="0.25">
      <c r="F1646" s="268"/>
    </row>
    <row r="1647" spans="6:6" x14ac:dyDescent="0.25">
      <c r="F1647" s="268"/>
    </row>
    <row r="1648" spans="6:6" x14ac:dyDescent="0.25">
      <c r="F1648" s="268"/>
    </row>
    <row r="1649" spans="6:6" x14ac:dyDescent="0.25">
      <c r="F1649" s="268"/>
    </row>
    <row r="1650" spans="6:6" x14ac:dyDescent="0.25">
      <c r="F1650" s="268"/>
    </row>
    <row r="1651" spans="6:6" x14ac:dyDescent="0.25">
      <c r="F1651" s="268"/>
    </row>
    <row r="1652" spans="6:6" x14ac:dyDescent="0.25">
      <c r="F1652" s="268"/>
    </row>
    <row r="1653" spans="6:6" x14ac:dyDescent="0.25">
      <c r="F1653" s="268"/>
    </row>
    <row r="1654" spans="6:6" x14ac:dyDescent="0.25">
      <c r="F1654" s="268"/>
    </row>
    <row r="1655" spans="6:6" x14ac:dyDescent="0.25">
      <c r="F1655" s="268"/>
    </row>
    <row r="1656" spans="6:6" x14ac:dyDescent="0.25">
      <c r="F1656" s="268"/>
    </row>
    <row r="1657" spans="6:6" x14ac:dyDescent="0.25">
      <c r="F1657" s="268"/>
    </row>
    <row r="1658" spans="6:6" x14ac:dyDescent="0.25">
      <c r="F1658" s="268"/>
    </row>
    <row r="1659" spans="6:6" x14ac:dyDescent="0.25">
      <c r="F1659" s="268"/>
    </row>
    <row r="1660" spans="6:6" x14ac:dyDescent="0.25">
      <c r="F1660" s="268"/>
    </row>
    <row r="1661" spans="6:6" x14ac:dyDescent="0.25">
      <c r="F1661" s="268"/>
    </row>
    <row r="1662" spans="6:6" x14ac:dyDescent="0.25">
      <c r="F1662" s="268"/>
    </row>
    <row r="1663" spans="6:6" x14ac:dyDescent="0.25">
      <c r="F1663" s="268"/>
    </row>
    <row r="1664" spans="6:6" x14ac:dyDescent="0.25">
      <c r="F1664" s="268"/>
    </row>
    <row r="1665" spans="6:6" x14ac:dyDescent="0.25">
      <c r="F1665" s="268"/>
    </row>
    <row r="1666" spans="6:6" x14ac:dyDescent="0.25">
      <c r="F1666" s="268"/>
    </row>
    <row r="1667" spans="6:6" x14ac:dyDescent="0.25">
      <c r="F1667" s="268"/>
    </row>
    <row r="1668" spans="6:6" x14ac:dyDescent="0.25">
      <c r="F1668" s="268"/>
    </row>
    <row r="1669" spans="6:6" x14ac:dyDescent="0.25">
      <c r="F1669" s="268"/>
    </row>
    <row r="1670" spans="6:6" x14ac:dyDescent="0.25">
      <c r="F1670" s="268"/>
    </row>
    <row r="1671" spans="6:6" x14ac:dyDescent="0.25">
      <c r="F1671" s="268"/>
    </row>
    <row r="1672" spans="6:6" x14ac:dyDescent="0.25">
      <c r="F1672" s="268"/>
    </row>
    <row r="1673" spans="6:6" x14ac:dyDescent="0.25">
      <c r="F1673" s="268"/>
    </row>
    <row r="1674" spans="6:6" x14ac:dyDescent="0.25">
      <c r="F1674" s="268"/>
    </row>
    <row r="1675" spans="6:6" x14ac:dyDescent="0.25">
      <c r="F1675" s="268"/>
    </row>
    <row r="1676" spans="6:6" x14ac:dyDescent="0.25">
      <c r="F1676" s="268"/>
    </row>
    <row r="1677" spans="6:6" x14ac:dyDescent="0.25">
      <c r="F1677" s="268"/>
    </row>
    <row r="1678" spans="6:6" x14ac:dyDescent="0.25">
      <c r="F1678" s="268"/>
    </row>
    <row r="1679" spans="6:6" x14ac:dyDescent="0.25">
      <c r="F1679" s="268"/>
    </row>
    <row r="1680" spans="6:6" x14ac:dyDescent="0.25">
      <c r="F1680" s="268"/>
    </row>
    <row r="1681" spans="6:6" x14ac:dyDescent="0.25">
      <c r="F1681" s="268"/>
    </row>
    <row r="1682" spans="6:6" x14ac:dyDescent="0.25">
      <c r="F1682" s="268"/>
    </row>
    <row r="1683" spans="6:6" x14ac:dyDescent="0.25">
      <c r="F1683" s="268"/>
    </row>
    <row r="1684" spans="6:6" x14ac:dyDescent="0.25">
      <c r="F1684" s="268"/>
    </row>
    <row r="1685" spans="6:6" x14ac:dyDescent="0.25">
      <c r="F1685" s="268"/>
    </row>
    <row r="1686" spans="6:6" x14ac:dyDescent="0.25">
      <c r="F1686" s="268"/>
    </row>
    <row r="1687" spans="6:6" x14ac:dyDescent="0.25">
      <c r="F1687" s="268"/>
    </row>
    <row r="1688" spans="6:6" x14ac:dyDescent="0.25">
      <c r="F1688" s="268"/>
    </row>
    <row r="1689" spans="6:6" x14ac:dyDescent="0.25">
      <c r="F1689" s="268"/>
    </row>
    <row r="1690" spans="6:6" x14ac:dyDescent="0.25">
      <c r="F1690" s="268"/>
    </row>
    <row r="1691" spans="6:6" x14ac:dyDescent="0.25">
      <c r="F1691" s="268"/>
    </row>
    <row r="1692" spans="6:6" x14ac:dyDescent="0.25">
      <c r="F1692" s="268"/>
    </row>
    <row r="1693" spans="6:6" x14ac:dyDescent="0.25">
      <c r="F1693" s="268"/>
    </row>
    <row r="1694" spans="6:6" x14ac:dyDescent="0.25">
      <c r="F1694" s="268"/>
    </row>
    <row r="1695" spans="6:6" x14ac:dyDescent="0.25">
      <c r="F1695" s="268"/>
    </row>
    <row r="1696" spans="6:6" x14ac:dyDescent="0.25">
      <c r="F1696" s="268"/>
    </row>
    <row r="1697" spans="6:6" x14ac:dyDescent="0.25">
      <c r="F1697" s="268"/>
    </row>
    <row r="1698" spans="6:6" x14ac:dyDescent="0.25">
      <c r="F1698" s="268"/>
    </row>
    <row r="1699" spans="6:6" x14ac:dyDescent="0.25">
      <c r="F1699" s="268"/>
    </row>
    <row r="1700" spans="6:6" x14ac:dyDescent="0.25">
      <c r="F1700" s="268"/>
    </row>
    <row r="1701" spans="6:6" x14ac:dyDescent="0.25">
      <c r="F1701" s="268"/>
    </row>
    <row r="1702" spans="6:6" x14ac:dyDescent="0.25">
      <c r="F1702" s="268"/>
    </row>
    <row r="1703" spans="6:6" x14ac:dyDescent="0.25">
      <c r="F1703" s="268"/>
    </row>
    <row r="1704" spans="6:6" x14ac:dyDescent="0.25">
      <c r="F1704" s="268"/>
    </row>
    <row r="1705" spans="6:6" x14ac:dyDescent="0.25">
      <c r="F1705" s="268"/>
    </row>
    <row r="1706" spans="6:6" x14ac:dyDescent="0.25">
      <c r="F1706" s="268"/>
    </row>
    <row r="1707" spans="6:6" x14ac:dyDescent="0.25">
      <c r="F1707" s="268"/>
    </row>
    <row r="1708" spans="6:6" x14ac:dyDescent="0.25">
      <c r="F1708" s="268"/>
    </row>
    <row r="1709" spans="6:6" x14ac:dyDescent="0.25">
      <c r="F1709" s="268"/>
    </row>
    <row r="1710" spans="6:6" x14ac:dyDescent="0.25">
      <c r="F1710" s="268"/>
    </row>
    <row r="1711" spans="6:6" x14ac:dyDescent="0.25">
      <c r="F1711" s="268"/>
    </row>
    <row r="1712" spans="6:6" x14ac:dyDescent="0.25">
      <c r="F1712" s="268"/>
    </row>
    <row r="1713" spans="6:6" x14ac:dyDescent="0.25">
      <c r="F1713" s="268"/>
    </row>
    <row r="1714" spans="6:6" x14ac:dyDescent="0.25">
      <c r="F1714" s="268"/>
    </row>
    <row r="1715" spans="6:6" x14ac:dyDescent="0.25">
      <c r="F1715" s="268"/>
    </row>
    <row r="1716" spans="6:6" x14ac:dyDescent="0.25">
      <c r="F1716" s="268"/>
    </row>
    <row r="1717" spans="6:6" x14ac:dyDescent="0.25">
      <c r="F1717" s="268"/>
    </row>
    <row r="1718" spans="6:6" x14ac:dyDescent="0.25">
      <c r="F1718" s="268"/>
    </row>
    <row r="1719" spans="6:6" x14ac:dyDescent="0.25">
      <c r="F1719" s="268"/>
    </row>
    <row r="1720" spans="6:6" x14ac:dyDescent="0.25">
      <c r="F1720" s="268"/>
    </row>
    <row r="1721" spans="6:6" x14ac:dyDescent="0.25">
      <c r="F1721" s="268"/>
    </row>
    <row r="1722" spans="6:6" x14ac:dyDescent="0.25">
      <c r="F1722" s="268"/>
    </row>
    <row r="1723" spans="6:6" x14ac:dyDescent="0.25">
      <c r="F1723" s="268"/>
    </row>
    <row r="1724" spans="6:6" x14ac:dyDescent="0.25">
      <c r="F1724" s="268"/>
    </row>
    <row r="1725" spans="6:6" x14ac:dyDescent="0.25">
      <c r="F1725" s="268"/>
    </row>
    <row r="1726" spans="6:6" x14ac:dyDescent="0.25">
      <c r="F1726" s="268"/>
    </row>
    <row r="1727" spans="6:6" x14ac:dyDescent="0.25">
      <c r="F1727" s="268"/>
    </row>
    <row r="1728" spans="6:6" x14ac:dyDescent="0.25">
      <c r="F1728" s="268"/>
    </row>
    <row r="1729" spans="6:6" x14ac:dyDescent="0.25">
      <c r="F1729" s="268"/>
    </row>
    <row r="1730" spans="6:6" x14ac:dyDescent="0.25">
      <c r="F1730" s="268"/>
    </row>
    <row r="1731" spans="6:6" x14ac:dyDescent="0.25">
      <c r="F1731" s="268"/>
    </row>
    <row r="1732" spans="6:6" x14ac:dyDescent="0.25">
      <c r="F1732" s="268"/>
    </row>
    <row r="1733" spans="6:6" x14ac:dyDescent="0.25">
      <c r="F1733" s="268"/>
    </row>
    <row r="1734" spans="6:6" x14ac:dyDescent="0.25">
      <c r="F1734" s="268"/>
    </row>
    <row r="1735" spans="6:6" x14ac:dyDescent="0.25">
      <c r="F1735" s="268"/>
    </row>
    <row r="1736" spans="6:6" x14ac:dyDescent="0.25">
      <c r="F1736" s="268"/>
    </row>
    <row r="1737" spans="6:6" x14ac:dyDescent="0.25">
      <c r="F1737" s="268"/>
    </row>
    <row r="1738" spans="6:6" x14ac:dyDescent="0.25">
      <c r="F1738" s="268"/>
    </row>
    <row r="1739" spans="6:6" x14ac:dyDescent="0.25">
      <c r="F1739" s="268"/>
    </row>
    <row r="1740" spans="6:6" x14ac:dyDescent="0.25">
      <c r="F1740" s="268"/>
    </row>
    <row r="1741" spans="6:6" x14ac:dyDescent="0.25">
      <c r="F1741" s="268"/>
    </row>
    <row r="1742" spans="6:6" x14ac:dyDescent="0.25">
      <c r="F1742" s="268"/>
    </row>
    <row r="1743" spans="6:6" x14ac:dyDescent="0.25">
      <c r="F1743" s="268"/>
    </row>
    <row r="1744" spans="6:6" x14ac:dyDescent="0.25">
      <c r="F1744" s="268"/>
    </row>
    <row r="1745" spans="6:6" x14ac:dyDescent="0.25">
      <c r="F1745" s="268"/>
    </row>
    <row r="1746" spans="6:6" x14ac:dyDescent="0.25">
      <c r="F1746" s="268"/>
    </row>
    <row r="1747" spans="6:6" x14ac:dyDescent="0.25">
      <c r="F1747" s="268"/>
    </row>
    <row r="1748" spans="6:6" x14ac:dyDescent="0.25">
      <c r="F1748" s="268"/>
    </row>
    <row r="1749" spans="6:6" x14ac:dyDescent="0.25">
      <c r="F1749" s="268"/>
    </row>
    <row r="1750" spans="6:6" x14ac:dyDescent="0.25">
      <c r="F1750" s="268"/>
    </row>
    <row r="1751" spans="6:6" x14ac:dyDescent="0.25">
      <c r="F1751" s="268"/>
    </row>
    <row r="1752" spans="6:6" x14ac:dyDescent="0.25">
      <c r="F1752" s="268"/>
    </row>
    <row r="1753" spans="6:6" x14ac:dyDescent="0.25">
      <c r="F1753" s="268"/>
    </row>
    <row r="1754" spans="6:6" x14ac:dyDescent="0.25">
      <c r="F1754" s="268"/>
    </row>
    <row r="1755" spans="6:6" x14ac:dyDescent="0.25">
      <c r="F1755" s="268"/>
    </row>
    <row r="1756" spans="6:6" x14ac:dyDescent="0.25">
      <c r="F1756" s="268"/>
    </row>
    <row r="1757" spans="6:6" x14ac:dyDescent="0.25">
      <c r="F1757" s="268"/>
    </row>
    <row r="1758" spans="6:6" x14ac:dyDescent="0.25">
      <c r="F1758" s="268"/>
    </row>
    <row r="1759" spans="6:6" x14ac:dyDescent="0.25">
      <c r="F1759" s="268"/>
    </row>
    <row r="1760" spans="6:6" x14ac:dyDescent="0.25">
      <c r="F1760" s="268"/>
    </row>
    <row r="1761" spans="6:6" x14ac:dyDescent="0.25">
      <c r="F1761" s="268"/>
    </row>
    <row r="1762" spans="6:6" x14ac:dyDescent="0.25">
      <c r="F1762" s="268"/>
    </row>
    <row r="1763" spans="6:6" x14ac:dyDescent="0.25">
      <c r="F1763" s="268"/>
    </row>
    <row r="1764" spans="6:6" x14ac:dyDescent="0.25">
      <c r="F1764" s="268"/>
    </row>
    <row r="1765" spans="6:6" x14ac:dyDescent="0.25">
      <c r="F1765" s="268"/>
    </row>
    <row r="1766" spans="6:6" x14ac:dyDescent="0.25">
      <c r="F1766" s="268"/>
    </row>
    <row r="1767" spans="6:6" x14ac:dyDescent="0.25">
      <c r="F1767" s="268"/>
    </row>
    <row r="1768" spans="6:6" x14ac:dyDescent="0.25">
      <c r="F1768" s="268"/>
    </row>
    <row r="1769" spans="6:6" x14ac:dyDescent="0.25">
      <c r="F1769" s="268"/>
    </row>
    <row r="1770" spans="6:6" x14ac:dyDescent="0.25">
      <c r="F1770" s="268"/>
    </row>
    <row r="1771" spans="6:6" x14ac:dyDescent="0.25">
      <c r="F1771" s="268"/>
    </row>
    <row r="1772" spans="6:6" x14ac:dyDescent="0.25">
      <c r="F1772" s="268"/>
    </row>
    <row r="1773" spans="6:6" x14ac:dyDescent="0.25">
      <c r="F1773" s="268"/>
    </row>
    <row r="1774" spans="6:6" x14ac:dyDescent="0.25">
      <c r="F1774" s="268"/>
    </row>
    <row r="1775" spans="6:6" x14ac:dyDescent="0.25">
      <c r="F1775" s="268"/>
    </row>
    <row r="1776" spans="6:6" x14ac:dyDescent="0.25">
      <c r="F1776" s="268"/>
    </row>
    <row r="1777" spans="6:6" x14ac:dyDescent="0.25">
      <c r="F1777" s="268"/>
    </row>
    <row r="1778" spans="6:6" x14ac:dyDescent="0.25">
      <c r="F1778" s="268"/>
    </row>
    <row r="1779" spans="6:6" x14ac:dyDescent="0.25">
      <c r="F1779" s="268"/>
    </row>
    <row r="1780" spans="6:6" x14ac:dyDescent="0.25">
      <c r="F1780" s="268"/>
    </row>
    <row r="1781" spans="6:6" x14ac:dyDescent="0.25">
      <c r="F1781" s="268"/>
    </row>
    <row r="1782" spans="6:6" x14ac:dyDescent="0.25">
      <c r="F1782" s="268"/>
    </row>
    <row r="1783" spans="6:6" x14ac:dyDescent="0.25">
      <c r="F1783" s="268"/>
    </row>
    <row r="1784" spans="6:6" x14ac:dyDescent="0.25">
      <c r="F1784" s="268"/>
    </row>
    <row r="1785" spans="6:6" x14ac:dyDescent="0.25">
      <c r="F1785" s="268"/>
    </row>
    <row r="1786" spans="6:6" x14ac:dyDescent="0.25">
      <c r="F1786" s="268"/>
    </row>
    <row r="1787" spans="6:6" x14ac:dyDescent="0.25">
      <c r="F1787" s="268"/>
    </row>
    <row r="1788" spans="6:6" x14ac:dyDescent="0.25">
      <c r="F1788" s="268"/>
    </row>
    <row r="1789" spans="6:6" x14ac:dyDescent="0.25">
      <c r="F1789" s="268"/>
    </row>
    <row r="1790" spans="6:6" x14ac:dyDescent="0.25">
      <c r="F1790" s="268"/>
    </row>
    <row r="1791" spans="6:6" x14ac:dyDescent="0.25">
      <c r="F1791" s="268"/>
    </row>
    <row r="1792" spans="6:6" x14ac:dyDescent="0.25">
      <c r="F1792" s="268"/>
    </row>
    <row r="1793" spans="6:6" x14ac:dyDescent="0.25">
      <c r="F1793" s="268"/>
    </row>
    <row r="1794" spans="6:6" x14ac:dyDescent="0.25">
      <c r="F1794" s="268"/>
    </row>
    <row r="1795" spans="6:6" x14ac:dyDescent="0.25">
      <c r="F1795" s="268"/>
    </row>
    <row r="1796" spans="6:6" x14ac:dyDescent="0.25">
      <c r="F1796" s="268"/>
    </row>
    <row r="1797" spans="6:6" x14ac:dyDescent="0.25">
      <c r="F1797" s="268"/>
    </row>
    <row r="1798" spans="6:6" x14ac:dyDescent="0.25">
      <c r="F1798" s="268"/>
    </row>
    <row r="1799" spans="6:6" x14ac:dyDescent="0.25">
      <c r="F1799" s="268"/>
    </row>
    <row r="1800" spans="6:6" x14ac:dyDescent="0.25">
      <c r="F1800" s="268"/>
    </row>
    <row r="1801" spans="6:6" x14ac:dyDescent="0.25">
      <c r="F1801" s="268"/>
    </row>
    <row r="1802" spans="6:6" x14ac:dyDescent="0.25">
      <c r="F1802" s="268"/>
    </row>
    <row r="1803" spans="6:6" x14ac:dyDescent="0.25">
      <c r="F1803" s="268"/>
    </row>
    <row r="1804" spans="6:6" x14ac:dyDescent="0.25">
      <c r="F1804" s="268"/>
    </row>
    <row r="1805" spans="6:6" x14ac:dyDescent="0.25">
      <c r="F1805" s="268"/>
    </row>
    <row r="1806" spans="6:6" x14ac:dyDescent="0.25">
      <c r="F1806" s="268"/>
    </row>
    <row r="1807" spans="6:6" x14ac:dyDescent="0.25">
      <c r="F1807" s="268"/>
    </row>
    <row r="1808" spans="6:6" x14ac:dyDescent="0.25">
      <c r="F1808" s="268"/>
    </row>
    <row r="1809" spans="6:6" x14ac:dyDescent="0.25">
      <c r="F1809" s="268"/>
    </row>
    <row r="1810" spans="6:6" x14ac:dyDescent="0.25">
      <c r="F1810" s="268"/>
    </row>
    <row r="1811" spans="6:6" x14ac:dyDescent="0.25">
      <c r="F1811" s="268"/>
    </row>
    <row r="1812" spans="6:6" x14ac:dyDescent="0.25">
      <c r="F1812" s="268"/>
    </row>
    <row r="1813" spans="6:6" x14ac:dyDescent="0.25">
      <c r="F1813" s="268"/>
    </row>
    <row r="1814" spans="6:6" x14ac:dyDescent="0.25">
      <c r="F1814" s="268"/>
    </row>
    <row r="1815" spans="6:6" x14ac:dyDescent="0.25">
      <c r="F1815" s="268"/>
    </row>
    <row r="1816" spans="6:6" x14ac:dyDescent="0.25">
      <c r="F1816" s="268"/>
    </row>
    <row r="1817" spans="6:6" x14ac:dyDescent="0.25">
      <c r="F1817" s="268"/>
    </row>
    <row r="1818" spans="6:6" x14ac:dyDescent="0.25">
      <c r="F1818" s="268"/>
    </row>
    <row r="1819" spans="6:6" x14ac:dyDescent="0.25">
      <c r="F1819" s="268"/>
    </row>
    <row r="1820" spans="6:6" x14ac:dyDescent="0.25">
      <c r="F1820" s="268"/>
    </row>
    <row r="1821" spans="6:6" x14ac:dyDescent="0.25">
      <c r="F1821" s="268"/>
    </row>
    <row r="1822" spans="6:6" x14ac:dyDescent="0.25">
      <c r="F1822" s="268"/>
    </row>
    <row r="1823" spans="6:6" x14ac:dyDescent="0.25">
      <c r="F1823" s="268"/>
    </row>
    <row r="1824" spans="6:6" x14ac:dyDescent="0.25">
      <c r="F1824" s="268"/>
    </row>
    <row r="1825" spans="6:6" x14ac:dyDescent="0.25">
      <c r="F1825" s="268"/>
    </row>
    <row r="1826" spans="6:6" x14ac:dyDescent="0.25">
      <c r="F1826" s="268"/>
    </row>
    <row r="1827" spans="6:6" x14ac:dyDescent="0.25">
      <c r="F1827" s="268"/>
    </row>
    <row r="1828" spans="6:6" x14ac:dyDescent="0.25">
      <c r="F1828" s="268"/>
    </row>
    <row r="1829" spans="6:6" x14ac:dyDescent="0.25">
      <c r="F1829" s="268"/>
    </row>
    <row r="1830" spans="6:6" x14ac:dyDescent="0.25">
      <c r="F1830" s="268"/>
    </row>
    <row r="1831" spans="6:6" x14ac:dyDescent="0.25">
      <c r="F1831" s="268"/>
    </row>
    <row r="1832" spans="6:6" x14ac:dyDescent="0.25">
      <c r="F1832" s="268"/>
    </row>
    <row r="1833" spans="6:6" x14ac:dyDescent="0.25">
      <c r="F1833" s="268"/>
    </row>
    <row r="1834" spans="6:6" x14ac:dyDescent="0.25">
      <c r="F1834" s="268"/>
    </row>
    <row r="1835" spans="6:6" x14ac:dyDescent="0.25">
      <c r="F1835" s="268"/>
    </row>
    <row r="1836" spans="6:6" x14ac:dyDescent="0.25">
      <c r="F1836" s="268"/>
    </row>
    <row r="1837" spans="6:6" x14ac:dyDescent="0.25">
      <c r="F1837" s="268"/>
    </row>
    <row r="1838" spans="6:6" x14ac:dyDescent="0.25">
      <c r="F1838" s="268"/>
    </row>
    <row r="1839" spans="6:6" x14ac:dyDescent="0.25">
      <c r="F1839" s="268"/>
    </row>
    <row r="1840" spans="6:6" x14ac:dyDescent="0.25">
      <c r="F1840" s="268"/>
    </row>
    <row r="1841" spans="6:6" x14ac:dyDescent="0.25">
      <c r="F1841" s="268"/>
    </row>
    <row r="1842" spans="6:6" x14ac:dyDescent="0.25">
      <c r="F1842" s="268"/>
    </row>
    <row r="1843" spans="6:6" x14ac:dyDescent="0.25">
      <c r="F1843" s="268"/>
    </row>
    <row r="1844" spans="6:6" x14ac:dyDescent="0.25">
      <c r="F1844" s="268"/>
    </row>
    <row r="1845" spans="6:6" x14ac:dyDescent="0.25">
      <c r="F1845" s="268"/>
    </row>
    <row r="1846" spans="6:6" x14ac:dyDescent="0.25">
      <c r="F1846" s="268"/>
    </row>
    <row r="1847" spans="6:6" x14ac:dyDescent="0.25">
      <c r="F1847" s="268"/>
    </row>
    <row r="1848" spans="6:6" x14ac:dyDescent="0.25">
      <c r="F1848" s="268"/>
    </row>
    <row r="1849" spans="6:6" x14ac:dyDescent="0.25">
      <c r="F1849" s="268"/>
    </row>
    <row r="1850" spans="6:6" x14ac:dyDescent="0.25">
      <c r="F1850" s="268"/>
    </row>
    <row r="1851" spans="6:6" x14ac:dyDescent="0.25">
      <c r="F1851" s="268"/>
    </row>
    <row r="1852" spans="6:6" x14ac:dyDescent="0.25">
      <c r="F1852" s="268"/>
    </row>
    <row r="1853" spans="6:6" x14ac:dyDescent="0.25">
      <c r="F1853" s="268"/>
    </row>
    <row r="1854" spans="6:6" x14ac:dyDescent="0.25">
      <c r="F1854" s="268"/>
    </row>
    <row r="1855" spans="6:6" x14ac:dyDescent="0.25">
      <c r="F1855" s="268"/>
    </row>
    <row r="1856" spans="6:6" x14ac:dyDescent="0.25">
      <c r="F1856" s="268"/>
    </row>
    <row r="1857" spans="6:6" x14ac:dyDescent="0.25">
      <c r="F1857" s="268"/>
    </row>
    <row r="1858" spans="6:6" x14ac:dyDescent="0.25">
      <c r="F1858" s="268"/>
    </row>
    <row r="1859" spans="6:6" x14ac:dyDescent="0.25">
      <c r="F1859" s="268"/>
    </row>
    <row r="1860" spans="6:6" x14ac:dyDescent="0.25">
      <c r="F1860" s="268"/>
    </row>
    <row r="1861" spans="6:6" x14ac:dyDescent="0.25">
      <c r="F1861" s="268"/>
    </row>
    <row r="1862" spans="6:6" x14ac:dyDescent="0.25">
      <c r="F1862" s="268"/>
    </row>
    <row r="1863" spans="6:6" x14ac:dyDescent="0.25">
      <c r="F1863" s="268"/>
    </row>
    <row r="1864" spans="6:6" x14ac:dyDescent="0.25">
      <c r="F1864" s="268"/>
    </row>
    <row r="1865" spans="6:6" x14ac:dyDescent="0.25">
      <c r="F1865" s="268"/>
    </row>
    <row r="1866" spans="6:6" x14ac:dyDescent="0.25">
      <c r="F1866" s="268"/>
    </row>
    <row r="1867" spans="6:6" x14ac:dyDescent="0.25">
      <c r="F1867" s="268"/>
    </row>
    <row r="1868" spans="6:6" x14ac:dyDescent="0.25">
      <c r="F1868" s="268"/>
    </row>
    <row r="1869" spans="6:6" x14ac:dyDescent="0.25">
      <c r="F1869" s="268"/>
    </row>
    <row r="1870" spans="6:6" x14ac:dyDescent="0.25">
      <c r="F1870" s="268"/>
    </row>
    <row r="1871" spans="6:6" x14ac:dyDescent="0.25">
      <c r="F1871" s="268"/>
    </row>
    <row r="1872" spans="6:6" x14ac:dyDescent="0.25">
      <c r="F1872" s="268"/>
    </row>
    <row r="1873" spans="6:6" x14ac:dyDescent="0.25">
      <c r="F1873" s="268"/>
    </row>
    <row r="1874" spans="6:6" x14ac:dyDescent="0.25">
      <c r="F1874" s="268"/>
    </row>
    <row r="1875" spans="6:6" x14ac:dyDescent="0.25">
      <c r="F1875" s="268"/>
    </row>
    <row r="1876" spans="6:6" x14ac:dyDescent="0.25">
      <c r="F1876" s="268"/>
    </row>
    <row r="1877" spans="6:6" x14ac:dyDescent="0.25">
      <c r="F1877" s="268"/>
    </row>
    <row r="1878" spans="6:6" x14ac:dyDescent="0.25">
      <c r="F1878" s="268"/>
    </row>
    <row r="1879" spans="6:6" x14ac:dyDescent="0.25">
      <c r="F1879" s="268"/>
    </row>
    <row r="1880" spans="6:6" x14ac:dyDescent="0.25">
      <c r="F1880" s="268"/>
    </row>
    <row r="1881" spans="6:6" x14ac:dyDescent="0.25">
      <c r="F1881" s="268"/>
    </row>
    <row r="1882" spans="6:6" x14ac:dyDescent="0.25">
      <c r="F1882" s="268"/>
    </row>
    <row r="1883" spans="6:6" x14ac:dyDescent="0.25">
      <c r="F1883" s="268"/>
    </row>
    <row r="1884" spans="6:6" x14ac:dyDescent="0.25">
      <c r="F1884" s="268"/>
    </row>
  </sheetData>
  <mergeCells count="6">
    <mergeCell ref="F273:Y273"/>
    <mergeCell ref="A1:G1"/>
    <mergeCell ref="H76:Q76"/>
    <mergeCell ref="F270:G270"/>
    <mergeCell ref="F271:Y271"/>
    <mergeCell ref="F272:Y272"/>
  </mergeCells>
  <conditionalFormatting sqref="F256:X256">
    <cfRule type="cellIs" dxfId="7" priority="1" stopIfTrue="1" operator="greaterThan">
      <formula>15</formula>
    </cfRule>
  </conditionalFormatting>
  <printOptions horizontalCentered="1"/>
  <pageMargins left="0.31496062992125984" right="0.31496062992125984" top="0.74803149606299213" bottom="0.51181102362204722" header="0.51181102362204722" footer="0.51181102362204722"/>
  <pageSetup paperSize="9" scale="44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2"/>
  <sheetViews>
    <sheetView topLeftCell="A208" workbookViewId="0">
      <selection activeCell="H224" sqref="H224"/>
    </sheetView>
  </sheetViews>
  <sheetFormatPr defaultColWidth="20.44140625" defaultRowHeight="15.9" customHeight="1" x14ac:dyDescent="0.25"/>
  <cols>
    <col min="1" max="1" width="10.6640625" customWidth="1"/>
    <col min="2" max="2" width="46" customWidth="1"/>
    <col min="3" max="3" width="14.109375" customWidth="1"/>
    <col min="4" max="4" width="7.6640625" customWidth="1"/>
    <col min="5" max="5" width="12.109375" customWidth="1"/>
    <col min="6" max="6" width="15.5546875" customWidth="1"/>
    <col min="7" max="7" width="14.88671875" customWidth="1"/>
  </cols>
  <sheetData>
    <row r="1" spans="1:7" ht="15.9" customHeight="1" x14ac:dyDescent="0.25">
      <c r="A1" s="864" t="s">
        <v>692</v>
      </c>
      <c r="B1" s="845"/>
      <c r="C1" s="845"/>
      <c r="D1" s="845"/>
      <c r="E1" s="845"/>
      <c r="F1" s="845"/>
      <c r="G1" s="846"/>
    </row>
    <row r="2" spans="1:7" ht="15.9" customHeight="1" x14ac:dyDescent="0.25">
      <c r="A2" s="438"/>
      <c r="B2" s="72"/>
      <c r="C2" s="72"/>
      <c r="D2" s="72"/>
      <c r="E2" s="72"/>
      <c r="F2" s="72"/>
      <c r="G2" s="73"/>
    </row>
    <row r="3" spans="1:7" ht="15.9" customHeight="1" x14ac:dyDescent="0.25">
      <c r="A3" s="74" t="s">
        <v>10</v>
      </c>
      <c r="B3" s="35"/>
      <c r="C3" s="443"/>
      <c r="D3" s="444"/>
      <c r="E3" s="445"/>
      <c r="F3" s="641"/>
      <c r="G3" s="35"/>
    </row>
    <row r="4" spans="1:7" ht="15.9" customHeight="1" x14ac:dyDescent="0.25">
      <c r="A4" s="74"/>
      <c r="B4" s="79" t="s">
        <v>25</v>
      </c>
      <c r="C4" s="447">
        <v>6.6666666666666697E-4</v>
      </c>
      <c r="D4" s="444"/>
      <c r="E4" s="445"/>
      <c r="F4" s="641"/>
      <c r="G4" s="35"/>
    </row>
    <row r="5" spans="1:7" ht="15.9" customHeight="1" x14ac:dyDescent="0.25">
      <c r="A5" s="74"/>
      <c r="B5" s="82" t="s">
        <v>693</v>
      </c>
      <c r="C5" s="443"/>
      <c r="D5" s="444"/>
      <c r="E5" s="445"/>
      <c r="F5" s="641"/>
      <c r="G5" s="35"/>
    </row>
    <row r="6" spans="1:7" ht="15.9" customHeight="1" x14ac:dyDescent="0.25">
      <c r="A6" s="74"/>
      <c r="B6" s="83"/>
      <c r="C6" s="443"/>
      <c r="D6" s="444"/>
      <c r="E6" s="445"/>
      <c r="F6" s="445"/>
      <c r="G6" s="35"/>
    </row>
    <row r="7" spans="1:7" ht="15.9" customHeight="1" x14ac:dyDescent="0.25">
      <c r="A7" s="74" t="s">
        <v>23</v>
      </c>
      <c r="B7" s="35"/>
      <c r="C7" s="443" t="s">
        <v>694</v>
      </c>
      <c r="D7" s="444"/>
      <c r="E7" s="445"/>
      <c r="F7" s="445"/>
      <c r="G7" s="35"/>
    </row>
    <row r="8" spans="1:7" ht="15.9" customHeight="1" x14ac:dyDescent="0.25">
      <c r="A8" s="74" t="s">
        <v>67</v>
      </c>
      <c r="B8" s="35"/>
      <c r="C8" s="83" t="s">
        <v>391</v>
      </c>
      <c r="D8" s="444"/>
      <c r="E8" s="445"/>
      <c r="F8" s="445"/>
      <c r="G8" s="35"/>
    </row>
    <row r="9" spans="1:7" ht="15.9" customHeight="1" x14ac:dyDescent="0.25">
      <c r="A9" s="74" t="s">
        <v>68</v>
      </c>
      <c r="B9" s="35"/>
      <c r="C9" s="81" t="str">
        <f>Consolidated!C9</f>
        <v xml:space="preserve">Humanitarian Response for People Affected by the Syrian Conflict </v>
      </c>
      <c r="D9" s="444"/>
      <c r="E9" s="445"/>
      <c r="F9" s="445"/>
      <c r="G9" s="35"/>
    </row>
    <row r="10" spans="1:7" ht="15.9" customHeight="1" x14ac:dyDescent="0.25">
      <c r="A10" s="74" t="s">
        <v>56</v>
      </c>
      <c r="B10" s="35"/>
      <c r="C10" s="642" t="str">
        <f>Consolidated!C10</f>
        <v>January 1st 2019-December 31st 2019</v>
      </c>
      <c r="D10" s="444"/>
      <c r="E10" s="445"/>
      <c r="F10" s="445"/>
      <c r="G10" s="35"/>
    </row>
    <row r="11" spans="1:7" ht="15.9" customHeight="1" x14ac:dyDescent="0.25">
      <c r="A11" s="74"/>
      <c r="B11" s="74"/>
      <c r="C11" s="453"/>
      <c r="D11" s="454"/>
      <c r="E11" s="438"/>
      <c r="F11" s="455" t="s">
        <v>69</v>
      </c>
      <c r="G11" s="455" t="s">
        <v>69</v>
      </c>
    </row>
    <row r="12" spans="1:7" ht="15.9" customHeight="1" x14ac:dyDescent="0.25">
      <c r="A12" s="74"/>
      <c r="B12" s="74"/>
      <c r="C12" s="453"/>
      <c r="D12" s="454"/>
      <c r="E12" s="438"/>
      <c r="F12" s="455" t="s">
        <v>5</v>
      </c>
      <c r="G12" s="455" t="s">
        <v>5</v>
      </c>
    </row>
    <row r="13" spans="1:7" ht="15.9" hidden="1" customHeight="1" x14ac:dyDescent="0.25">
      <c r="A13" s="89" t="s">
        <v>47</v>
      </c>
      <c r="B13" s="35"/>
      <c r="C13" s="453"/>
      <c r="D13" s="454"/>
      <c r="E13" s="458"/>
      <c r="F13" s="458" t="s">
        <v>20</v>
      </c>
      <c r="G13" s="91" t="s">
        <v>4</v>
      </c>
    </row>
    <row r="14" spans="1:7" ht="15.9" hidden="1" customHeight="1" x14ac:dyDescent="0.25">
      <c r="A14" s="92"/>
      <c r="B14" s="93"/>
      <c r="C14" s="462"/>
      <c r="D14" s="463"/>
      <c r="E14" s="464"/>
      <c r="F14" s="464"/>
      <c r="G14" s="97"/>
    </row>
    <row r="15" spans="1:7" ht="15.9" hidden="1" customHeight="1" x14ac:dyDescent="0.25">
      <c r="A15" s="98"/>
      <c r="B15" s="1"/>
      <c r="C15" s="468"/>
      <c r="D15" s="469"/>
      <c r="E15" s="470"/>
      <c r="F15" s="470"/>
      <c r="G15" s="102"/>
    </row>
    <row r="16" spans="1:7" ht="15.9" hidden="1" customHeight="1" x14ac:dyDescent="0.25">
      <c r="A16" s="103" t="s">
        <v>21</v>
      </c>
      <c r="B16" s="39"/>
      <c r="C16" s="474"/>
      <c r="D16" s="475"/>
      <c r="E16" s="476"/>
      <c r="F16" s="643"/>
      <c r="G16" s="39"/>
    </row>
    <row r="17" spans="1:7" ht="15.9" hidden="1" customHeight="1" x14ac:dyDescent="0.25">
      <c r="A17" s="103" t="s">
        <v>32</v>
      </c>
      <c r="B17" s="108" t="s">
        <v>33</v>
      </c>
      <c r="C17" s="103" t="s">
        <v>174</v>
      </c>
      <c r="D17" s="103" t="s">
        <v>65</v>
      </c>
      <c r="E17" s="476"/>
      <c r="F17" s="643"/>
      <c r="G17" s="644"/>
    </row>
    <row r="18" spans="1:7" ht="15.9" hidden="1" customHeight="1" x14ac:dyDescent="0.25">
      <c r="A18" s="109"/>
      <c r="B18" s="110"/>
      <c r="C18" s="644" t="s">
        <v>175</v>
      </c>
      <c r="D18" s="483"/>
      <c r="E18" s="476"/>
      <c r="F18" s="484">
        <v>0</v>
      </c>
      <c r="G18" s="644">
        <f>F18*C4</f>
        <v>0</v>
      </c>
    </row>
    <row r="19" spans="1:7" ht="15.9" hidden="1" customHeight="1" x14ac:dyDescent="0.25">
      <c r="A19" s="109"/>
      <c r="B19" s="110"/>
      <c r="C19" s="644" t="s">
        <v>176</v>
      </c>
      <c r="D19" s="483"/>
      <c r="E19" s="476"/>
      <c r="F19" s="484">
        <v>0</v>
      </c>
      <c r="G19" s="644">
        <f>F19*C4</f>
        <v>0</v>
      </c>
    </row>
    <row r="20" spans="1:7" ht="15.9" hidden="1" customHeight="1" x14ac:dyDescent="0.25">
      <c r="A20" s="103"/>
      <c r="B20" s="108" t="s">
        <v>173</v>
      </c>
      <c r="C20" s="474"/>
      <c r="D20" s="475"/>
      <c r="E20" s="476"/>
      <c r="F20" s="644">
        <f>SUM(F18:F19)</f>
        <v>0</v>
      </c>
      <c r="G20" s="644">
        <f>SUM(G18:G19)</f>
        <v>0</v>
      </c>
    </row>
    <row r="21" spans="1:7" ht="15.9" hidden="1" customHeight="1" x14ac:dyDescent="0.25">
      <c r="A21" s="103"/>
      <c r="B21" s="113"/>
      <c r="C21" s="474"/>
      <c r="D21" s="475"/>
      <c r="E21" s="476"/>
      <c r="F21" s="643"/>
      <c r="G21" s="644"/>
    </row>
    <row r="22" spans="1:7" ht="15.9" hidden="1" customHeight="1" x14ac:dyDescent="0.25">
      <c r="A22" s="103" t="s">
        <v>34</v>
      </c>
      <c r="B22" s="39"/>
      <c r="C22" s="474"/>
      <c r="D22" s="475"/>
      <c r="E22" s="476"/>
      <c r="F22" s="643"/>
      <c r="G22" s="644"/>
    </row>
    <row r="23" spans="1:7" ht="15.9" hidden="1" customHeight="1" x14ac:dyDescent="0.25">
      <c r="A23" s="103" t="s">
        <v>32</v>
      </c>
      <c r="B23" s="108" t="s">
        <v>33</v>
      </c>
      <c r="C23" s="474" t="s">
        <v>174</v>
      </c>
      <c r="D23" s="475"/>
      <c r="E23" s="476"/>
      <c r="F23" s="643"/>
      <c r="G23" s="644"/>
    </row>
    <row r="24" spans="1:7" ht="15.9" hidden="1" customHeight="1" x14ac:dyDescent="0.25">
      <c r="A24" s="114"/>
      <c r="B24" s="110"/>
      <c r="C24" s="488"/>
      <c r="D24" s="475"/>
      <c r="E24" s="476"/>
      <c r="F24" s="484">
        <v>0</v>
      </c>
      <c r="G24" s="644">
        <f>(C4)*F24</f>
        <v>0</v>
      </c>
    </row>
    <row r="25" spans="1:7" ht="15.9" hidden="1" customHeight="1" x14ac:dyDescent="0.25">
      <c r="A25" s="114"/>
      <c r="B25" s="110"/>
      <c r="C25" s="488"/>
      <c r="D25" s="475"/>
      <c r="E25" s="476"/>
      <c r="F25" s="484">
        <v>0</v>
      </c>
      <c r="G25" s="644">
        <f>F25*C4</f>
        <v>0</v>
      </c>
    </row>
    <row r="26" spans="1:7" ht="15.9" hidden="1" customHeight="1" x14ac:dyDescent="0.25">
      <c r="A26" s="103"/>
      <c r="B26" s="108" t="s">
        <v>173</v>
      </c>
      <c r="C26" s="474"/>
      <c r="D26" s="475"/>
      <c r="E26" s="476"/>
      <c r="F26" s="644">
        <f>SUM(F24:F25)</f>
        <v>0</v>
      </c>
      <c r="G26" s="644">
        <f>SUM(G24:G25)</f>
        <v>0</v>
      </c>
    </row>
    <row r="27" spans="1:7" ht="15.9" hidden="1" customHeight="1" x14ac:dyDescent="0.25">
      <c r="A27" s="103"/>
      <c r="B27" s="103" t="s">
        <v>64</v>
      </c>
      <c r="C27" s="474"/>
      <c r="D27" s="475"/>
      <c r="E27" s="476"/>
      <c r="F27" s="645">
        <v>0</v>
      </c>
      <c r="G27" s="644">
        <f>F27*C4</f>
        <v>0</v>
      </c>
    </row>
    <row r="28" spans="1:7" ht="15.9" hidden="1" customHeight="1" x14ac:dyDescent="0.25">
      <c r="A28" s="103"/>
      <c r="B28" s="39"/>
      <c r="C28" s="474"/>
      <c r="D28" s="475"/>
      <c r="E28" s="476"/>
      <c r="F28" s="644"/>
      <c r="G28" s="644"/>
    </row>
    <row r="29" spans="1:7" ht="15.9" hidden="1" customHeight="1" x14ac:dyDescent="0.25">
      <c r="A29" s="103" t="s">
        <v>35</v>
      </c>
      <c r="B29" s="39"/>
      <c r="C29" s="474"/>
      <c r="D29" s="475"/>
      <c r="E29" s="476"/>
      <c r="F29" s="643"/>
      <c r="G29" s="644"/>
    </row>
    <row r="30" spans="1:7" ht="15.9" hidden="1" customHeight="1" x14ac:dyDescent="0.25">
      <c r="A30" s="103" t="s">
        <v>32</v>
      </c>
      <c r="B30" s="108" t="s">
        <v>33</v>
      </c>
      <c r="C30" s="474" t="s">
        <v>174</v>
      </c>
      <c r="D30" s="475"/>
      <c r="E30" s="476"/>
      <c r="F30" s="643"/>
      <c r="G30" s="644"/>
    </row>
    <row r="31" spans="1:7" ht="15.9" hidden="1" customHeight="1" x14ac:dyDescent="0.25">
      <c r="A31" s="114"/>
      <c r="B31" s="110"/>
      <c r="C31" s="488"/>
      <c r="D31" s="475"/>
      <c r="E31" s="476"/>
      <c r="F31" s="484">
        <v>0</v>
      </c>
      <c r="G31" s="644">
        <f>F31*C4</f>
        <v>0</v>
      </c>
    </row>
    <row r="32" spans="1:7" ht="15.9" hidden="1" customHeight="1" x14ac:dyDescent="0.25">
      <c r="A32" s="114"/>
      <c r="B32" s="110"/>
      <c r="C32" s="488"/>
      <c r="D32" s="475"/>
      <c r="E32" s="476"/>
      <c r="F32" s="484">
        <v>0</v>
      </c>
      <c r="G32" s="644">
        <f>F32*C4</f>
        <v>0</v>
      </c>
    </row>
    <row r="33" spans="1:7" ht="15.9" hidden="1" customHeight="1" x14ac:dyDescent="0.25">
      <c r="A33" s="103"/>
      <c r="B33" s="108" t="s">
        <v>173</v>
      </c>
      <c r="C33" s="474"/>
      <c r="D33" s="475"/>
      <c r="E33" s="476"/>
      <c r="F33" s="646">
        <f>SUM(F31:F32)</f>
        <v>0</v>
      </c>
      <c r="G33" s="644">
        <f>SUM(G31:G32)</f>
        <v>0</v>
      </c>
    </row>
    <row r="34" spans="1:7" ht="15.9" hidden="1" customHeight="1" x14ac:dyDescent="0.25">
      <c r="A34" s="103"/>
      <c r="B34" s="39"/>
      <c r="C34" s="474"/>
      <c r="D34" s="475"/>
      <c r="E34" s="476"/>
      <c r="F34" s="643"/>
      <c r="G34" s="644"/>
    </row>
    <row r="35" spans="1:7" ht="15.9" hidden="1" customHeight="1" x14ac:dyDescent="0.25">
      <c r="A35" s="103" t="s">
        <v>22</v>
      </c>
      <c r="B35" s="39"/>
      <c r="C35" s="474"/>
      <c r="D35" s="475"/>
      <c r="E35" s="476"/>
      <c r="F35" s="644"/>
      <c r="G35" s="644"/>
    </row>
    <row r="36" spans="1:7" ht="15.9" hidden="1" customHeight="1" x14ac:dyDescent="0.25">
      <c r="A36" s="103" t="s">
        <v>32</v>
      </c>
      <c r="B36" s="108" t="s">
        <v>33</v>
      </c>
      <c r="C36" s="474" t="s">
        <v>174</v>
      </c>
      <c r="D36" s="475"/>
      <c r="E36" s="476"/>
      <c r="F36" s="643"/>
      <c r="G36" s="644"/>
    </row>
    <row r="37" spans="1:7" ht="15.9" hidden="1" customHeight="1" x14ac:dyDescent="0.25">
      <c r="A37" s="114"/>
      <c r="B37" s="110"/>
      <c r="C37" s="488"/>
      <c r="D37" s="475"/>
      <c r="E37" s="476"/>
      <c r="F37" s="484">
        <v>0</v>
      </c>
      <c r="G37" s="644">
        <f>F37*C4</f>
        <v>0</v>
      </c>
    </row>
    <row r="38" spans="1:7" ht="15.9" hidden="1" customHeight="1" x14ac:dyDescent="0.25">
      <c r="A38" s="114"/>
      <c r="B38" s="110"/>
      <c r="C38" s="488"/>
      <c r="D38" s="475"/>
      <c r="E38" s="476"/>
      <c r="F38" s="484">
        <v>0</v>
      </c>
      <c r="G38" s="644">
        <f>F38*C4</f>
        <v>0</v>
      </c>
    </row>
    <row r="39" spans="1:7" ht="15.9" hidden="1" customHeight="1" x14ac:dyDescent="0.25">
      <c r="A39" s="103"/>
      <c r="B39" s="108" t="s">
        <v>173</v>
      </c>
      <c r="C39" s="474"/>
      <c r="D39" s="475"/>
      <c r="E39" s="476"/>
      <c r="F39" s="646">
        <f>SUM(F37:F38)</f>
        <v>0</v>
      </c>
      <c r="G39" s="644">
        <f>SUM(G37:G38)</f>
        <v>0</v>
      </c>
    </row>
    <row r="40" spans="1:7" ht="15.9" hidden="1" customHeight="1" x14ac:dyDescent="0.25">
      <c r="A40" s="103"/>
      <c r="B40" s="39"/>
      <c r="C40" s="474"/>
      <c r="D40" s="475"/>
      <c r="E40" s="476"/>
      <c r="F40" s="643"/>
      <c r="G40" s="39"/>
    </row>
    <row r="41" spans="1:7" ht="15.9" hidden="1" customHeight="1" thickBot="1" x14ac:dyDescent="0.3">
      <c r="A41" s="117" t="s">
        <v>3</v>
      </c>
      <c r="B41" s="117"/>
      <c r="C41" s="491"/>
      <c r="D41" s="492"/>
      <c r="E41" s="493"/>
      <c r="F41" s="647">
        <f>SUM(F20+F26+F27+F33+F39)</f>
        <v>0</v>
      </c>
      <c r="G41" s="647">
        <f>SUM(G20+G26+G27+G33+G39)</f>
        <v>0</v>
      </c>
    </row>
    <row r="42" spans="1:7" ht="15" hidden="1" customHeight="1" x14ac:dyDescent="0.25">
      <c r="A42" s="103"/>
      <c r="B42" s="103"/>
      <c r="C42" s="480"/>
      <c r="D42" s="496"/>
      <c r="E42" s="477"/>
      <c r="F42" s="498"/>
      <c r="G42" s="498"/>
    </row>
    <row r="43" spans="1:7" ht="15.9" customHeight="1" x14ac:dyDescent="0.25">
      <c r="A43" s="74" t="s">
        <v>6</v>
      </c>
      <c r="B43" s="103"/>
      <c r="C43" s="480"/>
      <c r="D43" s="499"/>
      <c r="E43" s="485"/>
      <c r="F43" s="643"/>
      <c r="G43" s="39"/>
    </row>
    <row r="44" spans="1:7" ht="15.9" customHeight="1" x14ac:dyDescent="0.25">
      <c r="A44" s="35"/>
      <c r="B44" s="74" t="s">
        <v>306</v>
      </c>
      <c r="C44" s="453" t="s">
        <v>30</v>
      </c>
      <c r="D44" s="454" t="s">
        <v>31</v>
      </c>
      <c r="E44" s="438" t="s">
        <v>0</v>
      </c>
      <c r="F44" s="455" t="s">
        <v>69</v>
      </c>
      <c r="G44" s="455" t="s">
        <v>69</v>
      </c>
    </row>
    <row r="45" spans="1:7" ht="15.9" customHeight="1" x14ac:dyDescent="0.25">
      <c r="A45" s="35"/>
      <c r="B45" s="74"/>
      <c r="C45" s="453"/>
      <c r="D45" s="454"/>
      <c r="E45" s="438"/>
      <c r="F45" s="455" t="s">
        <v>5</v>
      </c>
      <c r="G45" s="455" t="s">
        <v>5</v>
      </c>
    </row>
    <row r="46" spans="1:7" ht="15.9" customHeight="1" x14ac:dyDescent="0.25">
      <c r="A46" s="74"/>
      <c r="B46" s="74"/>
      <c r="C46" s="453" t="s">
        <v>1</v>
      </c>
      <c r="D46" s="454" t="s">
        <v>2</v>
      </c>
      <c r="E46" s="458" t="s">
        <v>20</v>
      </c>
      <c r="F46" s="458" t="s">
        <v>20</v>
      </c>
      <c r="G46" s="91" t="s">
        <v>4</v>
      </c>
    </row>
    <row r="47" spans="1:7" ht="15.9" customHeight="1" x14ac:dyDescent="0.25">
      <c r="A47" s="74" t="s">
        <v>83</v>
      </c>
      <c r="B47" s="74"/>
      <c r="C47" s="453"/>
      <c r="D47" s="454"/>
      <c r="E47" s="458"/>
      <c r="F47" s="458"/>
      <c r="G47" s="91"/>
    </row>
    <row r="48" spans="1:7" ht="15.9" customHeight="1" x14ac:dyDescent="0.25">
      <c r="A48" s="129">
        <v>1</v>
      </c>
      <c r="B48" s="130" t="s">
        <v>84</v>
      </c>
      <c r="C48" s="507"/>
      <c r="D48" s="508"/>
      <c r="E48" s="509"/>
      <c r="F48" s="510"/>
      <c r="G48" s="137"/>
    </row>
    <row r="49" spans="1:7" ht="15.9" customHeight="1" x14ac:dyDescent="0.25">
      <c r="A49" s="200">
        <v>1.1000000000000001</v>
      </c>
      <c r="B49" s="113" t="s">
        <v>87</v>
      </c>
      <c r="C49" s="515"/>
      <c r="D49" s="516"/>
      <c r="E49" s="517"/>
      <c r="F49" s="648">
        <f>D49*E49</f>
        <v>0</v>
      </c>
      <c r="G49" s="417">
        <f>F49*C4</f>
        <v>0</v>
      </c>
    </row>
    <row r="50" spans="1:7" ht="15.9" customHeight="1" x14ac:dyDescent="0.25">
      <c r="A50" s="103" t="s">
        <v>110</v>
      </c>
      <c r="B50" s="113"/>
      <c r="C50" s="646"/>
      <c r="D50" s="649"/>
      <c r="E50" s="643"/>
      <c r="F50" s="643"/>
      <c r="G50" s="417"/>
    </row>
    <row r="51" spans="1:7" ht="15.9" hidden="1" customHeight="1" x14ac:dyDescent="0.25">
      <c r="A51" s="140" t="s">
        <v>86</v>
      </c>
      <c r="B51" s="206"/>
      <c r="C51" s="515"/>
      <c r="D51" s="516"/>
      <c r="E51" s="517"/>
      <c r="F51" s="650">
        <f>D51*E51</f>
        <v>0</v>
      </c>
      <c r="G51" s="417">
        <f>F51*C4</f>
        <v>0</v>
      </c>
    </row>
    <row r="52" spans="1:7" ht="15.9" hidden="1" customHeight="1" x14ac:dyDescent="0.25">
      <c r="A52" s="143" t="s">
        <v>89</v>
      </c>
      <c r="B52" s="46"/>
      <c r="C52" s="515"/>
      <c r="D52" s="516"/>
      <c r="E52" s="517"/>
      <c r="F52" s="650">
        <f>D52*E52</f>
        <v>0</v>
      </c>
      <c r="G52" s="417">
        <f>F52*C4</f>
        <v>0</v>
      </c>
    </row>
    <row r="53" spans="1:7" ht="15.9" customHeight="1" x14ac:dyDescent="0.25">
      <c r="A53" s="145"/>
      <c r="B53" s="144"/>
      <c r="C53" s="651"/>
      <c r="D53" s="652"/>
      <c r="E53" s="653"/>
      <c r="F53" s="650"/>
      <c r="G53" s="654"/>
    </row>
    <row r="54" spans="1:7" ht="15.9" customHeight="1" x14ac:dyDescent="0.25">
      <c r="A54" s="103" t="s">
        <v>111</v>
      </c>
      <c r="B54" s="35"/>
      <c r="C54" s="644"/>
      <c r="D54" s="655"/>
      <c r="E54" s="656"/>
      <c r="F54" s="650"/>
      <c r="G54" s="654"/>
    </row>
    <row r="55" spans="1:7" ht="15.9" customHeight="1" x14ac:dyDescent="0.25">
      <c r="A55" s="113" t="s">
        <v>94</v>
      </c>
      <c r="B55" s="110" t="s">
        <v>695</v>
      </c>
      <c r="C55" s="515" t="s">
        <v>432</v>
      </c>
      <c r="D55" s="516">
        <v>12</v>
      </c>
      <c r="E55" s="517">
        <f>4000000*15%</f>
        <v>600000</v>
      </c>
      <c r="F55" s="650">
        <f>D55*E55</f>
        <v>7200000</v>
      </c>
      <c r="G55" s="654">
        <f>F55*$C$4</f>
        <v>4800.0000000000018</v>
      </c>
    </row>
    <row r="56" spans="1:7" ht="15.9" customHeight="1" x14ac:dyDescent="0.25">
      <c r="A56" s="419" t="s">
        <v>95</v>
      </c>
      <c r="B56" s="46" t="s">
        <v>696</v>
      </c>
      <c r="C56" s="515" t="s">
        <v>432</v>
      </c>
      <c r="D56" s="516">
        <v>12</v>
      </c>
      <c r="E56" s="517">
        <f>3000000*15%*2</f>
        <v>900000</v>
      </c>
      <c r="F56" s="650">
        <f>D56*E56</f>
        <v>10800000</v>
      </c>
      <c r="G56" s="654">
        <f>F56*$C$4</f>
        <v>7200.0000000000036</v>
      </c>
    </row>
    <row r="57" spans="1:7" ht="15.9" customHeight="1" x14ac:dyDescent="0.25">
      <c r="A57" s="113" t="s">
        <v>639</v>
      </c>
      <c r="B57" s="110" t="s">
        <v>388</v>
      </c>
      <c r="C57" s="515" t="s">
        <v>432</v>
      </c>
      <c r="D57" s="516">
        <v>10</v>
      </c>
      <c r="E57" s="517">
        <v>4500000</v>
      </c>
      <c r="F57" s="650">
        <f>D57*E57</f>
        <v>45000000</v>
      </c>
      <c r="G57" s="654">
        <f>F57*$C$4</f>
        <v>30000.000000000015</v>
      </c>
    </row>
    <row r="58" spans="1:7" ht="15.9" customHeight="1" x14ac:dyDescent="0.25">
      <c r="A58" s="419" t="s">
        <v>641</v>
      </c>
      <c r="B58" s="46" t="s">
        <v>697</v>
      </c>
      <c r="C58" s="515" t="s">
        <v>384</v>
      </c>
      <c r="D58" s="516">
        <v>30</v>
      </c>
      <c r="E58" s="517">
        <v>375000</v>
      </c>
      <c r="F58" s="650">
        <f>D58*E58</f>
        <v>11250000</v>
      </c>
      <c r="G58" s="654">
        <f>F58*$C$4</f>
        <v>7500.0000000000036</v>
      </c>
    </row>
    <row r="59" spans="1:7" ht="15.9" hidden="1" customHeight="1" x14ac:dyDescent="0.25">
      <c r="A59" s="91"/>
      <c r="B59" s="149"/>
      <c r="C59" s="542"/>
      <c r="D59" s="543"/>
      <c r="E59" s="544"/>
      <c r="F59" s="650"/>
      <c r="G59" s="657"/>
    </row>
    <row r="60" spans="1:7" ht="15.9" hidden="1" customHeight="1" x14ac:dyDescent="0.25">
      <c r="A60" s="201"/>
      <c r="B60" s="202" t="s">
        <v>193</v>
      </c>
      <c r="C60" s="549"/>
      <c r="D60" s="550"/>
      <c r="E60" s="551"/>
      <c r="F60" s="552">
        <f>SUM(F51:F53)</f>
        <v>0</v>
      </c>
      <c r="G60" s="658">
        <f>SUM(G51:G53)</f>
        <v>0</v>
      </c>
    </row>
    <row r="61" spans="1:7" ht="15.9" hidden="1" customHeight="1" x14ac:dyDescent="0.25">
      <c r="A61" s="201"/>
      <c r="B61" s="202" t="s">
        <v>192</v>
      </c>
      <c r="C61" s="549"/>
      <c r="D61" s="550"/>
      <c r="E61" s="551"/>
      <c r="F61" s="552">
        <f>SUM(F55:F59)</f>
        <v>74250000</v>
      </c>
      <c r="G61" s="658">
        <f>SUM(G55:G59)</f>
        <v>49500.000000000029</v>
      </c>
    </row>
    <row r="62" spans="1:7" ht="15.9" customHeight="1" thickBot="1" x14ac:dyDescent="0.3">
      <c r="A62" s="103"/>
      <c r="B62" s="150" t="s">
        <v>85</v>
      </c>
      <c r="C62" s="480"/>
      <c r="D62" s="499"/>
      <c r="E62" s="485"/>
      <c r="F62" s="555">
        <f>SUM(F60:F61)</f>
        <v>74250000</v>
      </c>
      <c r="G62" s="659">
        <f>SUM(G60:G61)</f>
        <v>49500.000000000029</v>
      </c>
    </row>
    <row r="63" spans="1:7" ht="15.9" customHeight="1" thickTop="1" x14ac:dyDescent="0.25">
      <c r="A63" s="91"/>
      <c r="B63" s="74"/>
      <c r="C63" s="453"/>
      <c r="D63" s="454"/>
      <c r="E63" s="458"/>
      <c r="F63" s="458"/>
      <c r="G63" s="657"/>
    </row>
    <row r="64" spans="1:7" ht="15.9" customHeight="1" x14ac:dyDescent="0.25">
      <c r="A64" s="129">
        <v>2</v>
      </c>
      <c r="B64" s="130" t="s">
        <v>99</v>
      </c>
      <c r="C64" s="507"/>
      <c r="D64" s="508"/>
      <c r="E64" s="509"/>
      <c r="F64" s="509"/>
      <c r="G64" s="660"/>
    </row>
    <row r="65" spans="1:7" ht="15.9" customHeight="1" x14ac:dyDescent="0.25">
      <c r="A65" s="217" t="s">
        <v>100</v>
      </c>
      <c r="B65" s="218" t="s">
        <v>70</v>
      </c>
      <c r="C65" s="661"/>
      <c r="D65" s="662"/>
      <c r="E65" s="663"/>
      <c r="F65" s="570">
        <f>SUM(F66:F66)</f>
        <v>0</v>
      </c>
      <c r="G65" s="664">
        <f>SUM(G66:G66)</f>
        <v>0</v>
      </c>
    </row>
    <row r="66" spans="1:7" ht="15.9" hidden="1" customHeight="1" x14ac:dyDescent="0.25">
      <c r="A66" s="152" t="s">
        <v>200</v>
      </c>
      <c r="B66" s="110" t="s">
        <v>252</v>
      </c>
      <c r="C66" s="575"/>
      <c r="D66" s="576"/>
      <c r="E66" s="577"/>
      <c r="F66" s="650">
        <f>D66*E66</f>
        <v>0</v>
      </c>
      <c r="G66" s="654">
        <f>F66*C4</f>
        <v>0</v>
      </c>
    </row>
    <row r="67" spans="1:7" ht="15.9" customHeight="1" x14ac:dyDescent="0.25">
      <c r="A67" s="217" t="s">
        <v>101</v>
      </c>
      <c r="B67" s="218" t="s">
        <v>59</v>
      </c>
      <c r="C67" s="661"/>
      <c r="D67" s="662"/>
      <c r="E67" s="663"/>
      <c r="F67" s="570">
        <f>SUM(F68:F68)</f>
        <v>0</v>
      </c>
      <c r="G67" s="664">
        <f>SUM(G68:G68)</f>
        <v>0</v>
      </c>
    </row>
    <row r="68" spans="1:7" ht="15.9" hidden="1" customHeight="1" x14ac:dyDescent="0.25">
      <c r="A68" s="152" t="s">
        <v>205</v>
      </c>
      <c r="B68" s="110" t="s">
        <v>257</v>
      </c>
      <c r="C68" s="110"/>
      <c r="D68" s="110"/>
      <c r="E68" s="110"/>
      <c r="F68" s="650">
        <f>D68*E68</f>
        <v>0</v>
      </c>
      <c r="G68" s="665">
        <f>F68*$C$4</f>
        <v>0</v>
      </c>
    </row>
    <row r="69" spans="1:7" ht="15.9" customHeight="1" x14ac:dyDescent="0.25">
      <c r="A69" s="217" t="s">
        <v>102</v>
      </c>
      <c r="B69" s="218" t="s">
        <v>71</v>
      </c>
      <c r="C69" s="661"/>
      <c r="D69" s="662"/>
      <c r="E69" s="663"/>
      <c r="F69" s="570">
        <f>SUM(F70:F70)</f>
        <v>90750000</v>
      </c>
      <c r="G69" s="664">
        <f>SUM(G70:G70)</f>
        <v>60500.000000000029</v>
      </c>
    </row>
    <row r="70" spans="1:7" ht="15.9" customHeight="1" x14ac:dyDescent="0.25">
      <c r="A70" s="152" t="s">
        <v>210</v>
      </c>
      <c r="B70" s="110" t="s">
        <v>698</v>
      </c>
      <c r="C70" s="575" t="s">
        <v>699</v>
      </c>
      <c r="D70" s="576">
        <v>1</v>
      </c>
      <c r="E70" s="577">
        <v>90750000</v>
      </c>
      <c r="F70" s="650">
        <f>D70*E70</f>
        <v>90750000</v>
      </c>
      <c r="G70" s="654">
        <f>F70*C4</f>
        <v>60500.000000000029</v>
      </c>
    </row>
    <row r="71" spans="1:7" ht="15.9" customHeight="1" x14ac:dyDescent="0.25">
      <c r="A71" s="217" t="s">
        <v>103</v>
      </c>
      <c r="B71" s="218" t="s">
        <v>72</v>
      </c>
      <c r="C71" s="661"/>
      <c r="D71" s="662"/>
      <c r="E71" s="663"/>
      <c r="F71" s="570">
        <f>SUM(F72:F77)</f>
        <v>60000000</v>
      </c>
      <c r="G71" s="664">
        <f>SUM(G72:G77)</f>
        <v>40000.000000000022</v>
      </c>
    </row>
    <row r="72" spans="1:7" ht="15.9" customHeight="1" x14ac:dyDescent="0.25">
      <c r="A72" s="152" t="s">
        <v>215</v>
      </c>
      <c r="B72" s="110" t="s">
        <v>328</v>
      </c>
      <c r="C72" s="575" t="s">
        <v>580</v>
      </c>
      <c r="D72" s="576">
        <v>5</v>
      </c>
      <c r="E72" s="577">
        <v>2000000</v>
      </c>
      <c r="F72" s="650">
        <f t="shared" ref="F72:F77" si="0">D72*E72</f>
        <v>10000000</v>
      </c>
      <c r="G72" s="654">
        <f>F72*C4</f>
        <v>6666.6666666666697</v>
      </c>
    </row>
    <row r="73" spans="1:7" ht="15.9" customHeight="1" x14ac:dyDescent="0.25">
      <c r="A73" s="152" t="s">
        <v>216</v>
      </c>
      <c r="B73" s="110" t="s">
        <v>700</v>
      </c>
      <c r="C73" s="575" t="s">
        <v>701</v>
      </c>
      <c r="D73" s="576">
        <v>2500</v>
      </c>
      <c r="E73" s="577">
        <v>20000</v>
      </c>
      <c r="F73" s="650">
        <f t="shared" si="0"/>
        <v>50000000</v>
      </c>
      <c r="G73" s="654">
        <f>F73*C4</f>
        <v>33333.33333333335</v>
      </c>
    </row>
    <row r="74" spans="1:7" ht="15.9" hidden="1" customHeight="1" x14ac:dyDescent="0.25">
      <c r="A74" s="152" t="s">
        <v>216</v>
      </c>
      <c r="B74" s="110" t="s">
        <v>268</v>
      </c>
      <c r="C74" s="575"/>
      <c r="D74" s="576"/>
      <c r="E74" s="577"/>
      <c r="F74" s="650">
        <f t="shared" si="0"/>
        <v>0</v>
      </c>
      <c r="G74" s="654">
        <f>F74*C4</f>
        <v>0</v>
      </c>
    </row>
    <row r="75" spans="1:7" ht="15.9" hidden="1" customHeight="1" x14ac:dyDescent="0.25">
      <c r="A75" s="152" t="s">
        <v>217</v>
      </c>
      <c r="B75" s="110" t="s">
        <v>269</v>
      </c>
      <c r="C75" s="575"/>
      <c r="D75" s="576"/>
      <c r="E75" s="577"/>
      <c r="F75" s="650">
        <f t="shared" si="0"/>
        <v>0</v>
      </c>
      <c r="G75" s="654">
        <f>F75*C4</f>
        <v>0</v>
      </c>
    </row>
    <row r="76" spans="1:7" ht="15.9" hidden="1" customHeight="1" x14ac:dyDescent="0.25">
      <c r="A76" s="152" t="s">
        <v>218</v>
      </c>
      <c r="B76" s="110" t="s">
        <v>270</v>
      </c>
      <c r="C76" s="575"/>
      <c r="D76" s="576"/>
      <c r="E76" s="577"/>
      <c r="F76" s="650">
        <f t="shared" si="0"/>
        <v>0</v>
      </c>
      <c r="G76" s="654">
        <f>F76*C4</f>
        <v>0</v>
      </c>
    </row>
    <row r="77" spans="1:7" ht="15.9" hidden="1" customHeight="1" x14ac:dyDescent="0.25">
      <c r="A77" s="152" t="s">
        <v>219</v>
      </c>
      <c r="B77" s="110" t="s">
        <v>271</v>
      </c>
      <c r="C77" s="575"/>
      <c r="D77" s="576"/>
      <c r="E77" s="577"/>
      <c r="F77" s="650">
        <f t="shared" si="0"/>
        <v>0</v>
      </c>
      <c r="G77" s="654">
        <f>F77*C4</f>
        <v>0</v>
      </c>
    </row>
    <row r="78" spans="1:7" ht="15.9" customHeight="1" x14ac:dyDescent="0.25">
      <c r="A78" s="217" t="s">
        <v>104</v>
      </c>
      <c r="B78" s="218" t="s">
        <v>73</v>
      </c>
      <c r="C78" s="661"/>
      <c r="D78" s="662"/>
      <c r="E78" s="663"/>
      <c r="F78" s="570">
        <f>SUM(F79:F83)</f>
        <v>0</v>
      </c>
      <c r="G78" s="664">
        <f>SUM(G79:G83)</f>
        <v>0</v>
      </c>
    </row>
    <row r="79" spans="1:7" ht="15.9" hidden="1" customHeight="1" x14ac:dyDescent="0.25">
      <c r="A79" s="152" t="s">
        <v>220</v>
      </c>
      <c r="B79" s="110" t="s">
        <v>272</v>
      </c>
      <c r="C79" s="575"/>
      <c r="D79" s="576"/>
      <c r="E79" s="577"/>
      <c r="F79" s="650">
        <f>D79*E79</f>
        <v>0</v>
      </c>
      <c r="G79" s="654">
        <f>F79*C4</f>
        <v>0</v>
      </c>
    </row>
    <row r="80" spans="1:7" ht="15.9" hidden="1" customHeight="1" x14ac:dyDescent="0.25">
      <c r="A80" s="152" t="s">
        <v>221</v>
      </c>
      <c r="B80" s="110" t="s">
        <v>273</v>
      </c>
      <c r="C80" s="575"/>
      <c r="D80" s="576"/>
      <c r="E80" s="577"/>
      <c r="F80" s="650">
        <f>D80*E80</f>
        <v>0</v>
      </c>
      <c r="G80" s="654">
        <f>F80*C4</f>
        <v>0</v>
      </c>
    </row>
    <row r="81" spans="1:7" ht="15.9" hidden="1" customHeight="1" x14ac:dyDescent="0.25">
      <c r="A81" s="152" t="s">
        <v>222</v>
      </c>
      <c r="B81" s="110" t="s">
        <v>274</v>
      </c>
      <c r="C81" s="575"/>
      <c r="D81" s="576"/>
      <c r="E81" s="577"/>
      <c r="F81" s="650">
        <f>D81*E81</f>
        <v>0</v>
      </c>
      <c r="G81" s="654">
        <f>F81*C4</f>
        <v>0</v>
      </c>
    </row>
    <row r="82" spans="1:7" ht="15.9" hidden="1" customHeight="1" x14ac:dyDescent="0.25">
      <c r="A82" s="152" t="s">
        <v>223</v>
      </c>
      <c r="B82" s="110" t="s">
        <v>275</v>
      </c>
      <c r="C82" s="575"/>
      <c r="D82" s="576"/>
      <c r="E82" s="577"/>
      <c r="F82" s="650">
        <f>D82*E82</f>
        <v>0</v>
      </c>
      <c r="G82" s="654">
        <f>F82*C4</f>
        <v>0</v>
      </c>
    </row>
    <row r="83" spans="1:7" ht="15.9" hidden="1" customHeight="1" x14ac:dyDescent="0.25">
      <c r="A83" s="152" t="s">
        <v>224</v>
      </c>
      <c r="B83" s="110" t="s">
        <v>276</v>
      </c>
      <c r="C83" s="575"/>
      <c r="D83" s="576"/>
      <c r="E83" s="577"/>
      <c r="F83" s="650">
        <f>D83*E83</f>
        <v>0</v>
      </c>
      <c r="G83" s="654">
        <f>F83*C4</f>
        <v>0</v>
      </c>
    </row>
    <row r="84" spans="1:7" ht="15.9" customHeight="1" x14ac:dyDescent="0.25">
      <c r="A84" s="217" t="s">
        <v>105</v>
      </c>
      <c r="B84" s="218" t="s">
        <v>58</v>
      </c>
      <c r="C84" s="661"/>
      <c r="D84" s="662"/>
      <c r="E84" s="663"/>
      <c r="F84" s="570">
        <f>SUM(F85:F90)</f>
        <v>187500000</v>
      </c>
      <c r="G84" s="664">
        <f>SUM(G85:G90)</f>
        <v>125000.00000000006</v>
      </c>
    </row>
    <row r="85" spans="1:7" ht="15.9" customHeight="1" x14ac:dyDescent="0.25">
      <c r="A85" s="152" t="s">
        <v>225</v>
      </c>
      <c r="B85" s="110" t="s">
        <v>702</v>
      </c>
      <c r="C85" s="575" t="s">
        <v>703</v>
      </c>
      <c r="D85" s="576">
        <v>1</v>
      </c>
      <c r="E85" s="577">
        <v>75000000</v>
      </c>
      <c r="F85" s="650">
        <f t="shared" ref="F85:F90" si="1">D85*E85</f>
        <v>75000000</v>
      </c>
      <c r="G85" s="654">
        <f>F85*C4</f>
        <v>50000.000000000022</v>
      </c>
    </row>
    <row r="86" spans="1:7" ht="15.9" hidden="1" customHeight="1" x14ac:dyDescent="0.25">
      <c r="A86" s="152" t="s">
        <v>226</v>
      </c>
      <c r="B86" s="110" t="s">
        <v>278</v>
      </c>
      <c r="C86" s="575"/>
      <c r="D86" s="576"/>
      <c r="E86" s="577"/>
      <c r="F86" s="650">
        <f t="shared" si="1"/>
        <v>0</v>
      </c>
      <c r="G86" s="654">
        <f>F86*C4</f>
        <v>0</v>
      </c>
    </row>
    <row r="87" spans="1:7" ht="15.9" hidden="1" customHeight="1" x14ac:dyDescent="0.25">
      <c r="A87" s="152" t="s">
        <v>227</v>
      </c>
      <c r="B87" s="110" t="s">
        <v>279</v>
      </c>
      <c r="C87" s="575"/>
      <c r="D87" s="576"/>
      <c r="E87" s="577"/>
      <c r="F87" s="650">
        <f t="shared" si="1"/>
        <v>0</v>
      </c>
      <c r="G87" s="654">
        <f>F87*C4</f>
        <v>0</v>
      </c>
    </row>
    <row r="88" spans="1:7" ht="15.9" hidden="1" customHeight="1" x14ac:dyDescent="0.25">
      <c r="A88" s="152" t="s">
        <v>228</v>
      </c>
      <c r="B88" s="110" t="s">
        <v>280</v>
      </c>
      <c r="C88" s="575"/>
      <c r="D88" s="576"/>
      <c r="E88" s="577"/>
      <c r="F88" s="650">
        <f t="shared" si="1"/>
        <v>0</v>
      </c>
      <c r="G88" s="654">
        <f>F88*C4</f>
        <v>0</v>
      </c>
    </row>
    <row r="89" spans="1:7" ht="15.9" hidden="1" customHeight="1" x14ac:dyDescent="0.25">
      <c r="A89" s="152" t="s">
        <v>229</v>
      </c>
      <c r="B89" s="110" t="s">
        <v>281</v>
      </c>
      <c r="C89" s="575"/>
      <c r="D89" s="576"/>
      <c r="E89" s="577"/>
      <c r="F89" s="650">
        <f t="shared" si="1"/>
        <v>0</v>
      </c>
      <c r="G89" s="654">
        <f>F89*C4</f>
        <v>0</v>
      </c>
    </row>
    <row r="90" spans="1:7" ht="15.9" customHeight="1" x14ac:dyDescent="0.25">
      <c r="A90" s="152" t="s">
        <v>704</v>
      </c>
      <c r="B90" s="110" t="s">
        <v>705</v>
      </c>
      <c r="C90" s="575" t="s">
        <v>706</v>
      </c>
      <c r="D90" s="576">
        <v>3</v>
      </c>
      <c r="E90" s="577">
        <v>37500000</v>
      </c>
      <c r="F90" s="650">
        <f t="shared" si="1"/>
        <v>112500000</v>
      </c>
      <c r="G90" s="666">
        <f>F90*C4</f>
        <v>75000.000000000029</v>
      </c>
    </row>
    <row r="91" spans="1:7" ht="15.9" customHeight="1" x14ac:dyDescent="0.25">
      <c r="A91" s="217" t="s">
        <v>106</v>
      </c>
      <c r="B91" s="218" t="s">
        <v>57</v>
      </c>
      <c r="C91" s="661"/>
      <c r="D91" s="662"/>
      <c r="E91" s="663"/>
      <c r="F91" s="570">
        <f>SUM(F92:F96)</f>
        <v>52500000</v>
      </c>
      <c r="G91" s="664">
        <f>SUM(G92:G96)</f>
        <v>35000.000000000015</v>
      </c>
    </row>
    <row r="92" spans="1:7" ht="15.9" customHeight="1" x14ac:dyDescent="0.25">
      <c r="A92" s="152" t="s">
        <v>230</v>
      </c>
      <c r="B92" s="110" t="s">
        <v>707</v>
      </c>
      <c r="C92" s="575" t="s">
        <v>703</v>
      </c>
      <c r="D92" s="576">
        <v>1</v>
      </c>
      <c r="E92" s="577">
        <v>52500000</v>
      </c>
      <c r="F92" s="650">
        <f>D92*E92</f>
        <v>52500000</v>
      </c>
      <c r="G92" s="654">
        <f>F92*C4</f>
        <v>35000.000000000015</v>
      </c>
    </row>
    <row r="93" spans="1:7" ht="15.9" hidden="1" customHeight="1" x14ac:dyDescent="0.25">
      <c r="A93" s="152" t="s">
        <v>231</v>
      </c>
      <c r="B93" s="110" t="s">
        <v>283</v>
      </c>
      <c r="C93" s="575"/>
      <c r="D93" s="576"/>
      <c r="E93" s="577"/>
      <c r="F93" s="650">
        <f>D93*E93</f>
        <v>0</v>
      </c>
      <c r="G93" s="654">
        <f>F93*C4</f>
        <v>0</v>
      </c>
    </row>
    <row r="94" spans="1:7" ht="15.9" hidden="1" customHeight="1" x14ac:dyDescent="0.25">
      <c r="A94" s="152" t="s">
        <v>232</v>
      </c>
      <c r="B94" s="110" t="s">
        <v>284</v>
      </c>
      <c r="C94" s="575"/>
      <c r="D94" s="576"/>
      <c r="E94" s="577"/>
      <c r="F94" s="650">
        <f>D94*E94</f>
        <v>0</v>
      </c>
      <c r="G94" s="654">
        <f>F94*C4</f>
        <v>0</v>
      </c>
    </row>
    <row r="95" spans="1:7" ht="15.9" hidden="1" customHeight="1" x14ac:dyDescent="0.25">
      <c r="A95" s="152" t="s">
        <v>233</v>
      </c>
      <c r="B95" s="110" t="s">
        <v>285</v>
      </c>
      <c r="C95" s="575"/>
      <c r="D95" s="576"/>
      <c r="E95" s="577"/>
      <c r="F95" s="650">
        <f>D95*E95</f>
        <v>0</v>
      </c>
      <c r="G95" s="654">
        <f>F95*C4</f>
        <v>0</v>
      </c>
    </row>
    <row r="96" spans="1:7" ht="15.9" hidden="1" customHeight="1" x14ac:dyDescent="0.25">
      <c r="A96" s="152" t="s">
        <v>234</v>
      </c>
      <c r="B96" s="110" t="s">
        <v>286</v>
      </c>
      <c r="C96" s="575"/>
      <c r="D96" s="576"/>
      <c r="E96" s="577"/>
      <c r="F96" s="650">
        <f>D96*E96</f>
        <v>0</v>
      </c>
      <c r="G96" s="654">
        <f>F96*C4</f>
        <v>0</v>
      </c>
    </row>
    <row r="97" spans="1:7" ht="15.9" customHeight="1" x14ac:dyDescent="0.25">
      <c r="A97" s="217" t="s">
        <v>107</v>
      </c>
      <c r="B97" s="218" t="s">
        <v>74</v>
      </c>
      <c r="C97" s="661"/>
      <c r="D97" s="662"/>
      <c r="E97" s="663"/>
      <c r="F97" s="570">
        <f>SUM(F98:F102)</f>
        <v>0</v>
      </c>
      <c r="G97" s="664">
        <f>SUM(G98:G102)</f>
        <v>0</v>
      </c>
    </row>
    <row r="98" spans="1:7" ht="15.9" hidden="1" customHeight="1" x14ac:dyDescent="0.25">
      <c r="A98" s="152" t="s">
        <v>235</v>
      </c>
      <c r="B98" s="110" t="s">
        <v>287</v>
      </c>
      <c r="C98" s="575"/>
      <c r="D98" s="576"/>
      <c r="E98" s="577"/>
      <c r="F98" s="650">
        <f>D98*E98</f>
        <v>0</v>
      </c>
      <c r="G98" s="654">
        <f>F98*C4</f>
        <v>0</v>
      </c>
    </row>
    <row r="99" spans="1:7" ht="15.9" hidden="1" customHeight="1" x14ac:dyDescent="0.25">
      <c r="A99" s="152" t="s">
        <v>236</v>
      </c>
      <c r="B99" s="110" t="s">
        <v>288</v>
      </c>
      <c r="C99" s="575"/>
      <c r="D99" s="576"/>
      <c r="E99" s="577"/>
      <c r="F99" s="650">
        <f>D99*E99</f>
        <v>0</v>
      </c>
      <c r="G99" s="654">
        <f>F99*C4</f>
        <v>0</v>
      </c>
    </row>
    <row r="100" spans="1:7" ht="15.9" hidden="1" customHeight="1" x14ac:dyDescent="0.25">
      <c r="A100" s="152" t="s">
        <v>237</v>
      </c>
      <c r="B100" s="110" t="s">
        <v>289</v>
      </c>
      <c r="C100" s="575"/>
      <c r="D100" s="576"/>
      <c r="E100" s="577"/>
      <c r="F100" s="650">
        <f>D100*E100</f>
        <v>0</v>
      </c>
      <c r="G100" s="654">
        <f>F100*C4</f>
        <v>0</v>
      </c>
    </row>
    <row r="101" spans="1:7" ht="15.9" hidden="1" customHeight="1" x14ac:dyDescent="0.25">
      <c r="A101" s="152" t="s">
        <v>238</v>
      </c>
      <c r="B101" s="110" t="s">
        <v>290</v>
      </c>
      <c r="C101" s="575"/>
      <c r="D101" s="576"/>
      <c r="E101" s="577"/>
      <c r="F101" s="650">
        <f>D101*E101</f>
        <v>0</v>
      </c>
      <c r="G101" s="654">
        <f>F101*C4</f>
        <v>0</v>
      </c>
    </row>
    <row r="102" spans="1:7" ht="15.9" hidden="1" customHeight="1" x14ac:dyDescent="0.25">
      <c r="A102" s="152" t="s">
        <v>239</v>
      </c>
      <c r="B102" s="110" t="s">
        <v>291</v>
      </c>
      <c r="C102" s="575"/>
      <c r="D102" s="576"/>
      <c r="E102" s="577"/>
      <c r="F102" s="650">
        <f>D102*E102</f>
        <v>0</v>
      </c>
      <c r="G102" s="654">
        <f>F102*C4</f>
        <v>0</v>
      </c>
    </row>
    <row r="103" spans="1:7" ht="15.9" customHeight="1" x14ac:dyDescent="0.25">
      <c r="A103" s="217" t="s">
        <v>108</v>
      </c>
      <c r="B103" s="218" t="s">
        <v>470</v>
      </c>
      <c r="C103" s="661"/>
      <c r="D103" s="662"/>
      <c r="E103" s="663"/>
      <c r="F103" s="570">
        <f>SUM(F104:F108)</f>
        <v>0</v>
      </c>
      <c r="G103" s="664">
        <f>SUM(G104:G108)</f>
        <v>0</v>
      </c>
    </row>
    <row r="104" spans="1:7" ht="15.9" hidden="1" customHeight="1" x14ac:dyDescent="0.25">
      <c r="A104" s="157" t="s">
        <v>240</v>
      </c>
      <c r="B104" s="110" t="s">
        <v>471</v>
      </c>
      <c r="C104" s="575"/>
      <c r="D104" s="576"/>
      <c r="E104" s="577"/>
      <c r="F104" s="650">
        <f>D104*E104</f>
        <v>0</v>
      </c>
      <c r="G104" s="654">
        <f>F104*C4</f>
        <v>0</v>
      </c>
    </row>
    <row r="105" spans="1:7" ht="15.9" hidden="1" customHeight="1" x14ac:dyDescent="0.25">
      <c r="A105" s="157" t="s">
        <v>241</v>
      </c>
      <c r="B105" s="110" t="s">
        <v>472</v>
      </c>
      <c r="C105" s="575"/>
      <c r="D105" s="576"/>
      <c r="E105" s="577"/>
      <c r="F105" s="650">
        <f>D105*E105</f>
        <v>0</v>
      </c>
      <c r="G105" s="654">
        <f>F105*C4</f>
        <v>0</v>
      </c>
    </row>
    <row r="106" spans="1:7" ht="15.9" hidden="1" customHeight="1" x14ac:dyDescent="0.25">
      <c r="A106" s="157" t="s">
        <v>242</v>
      </c>
      <c r="B106" s="110" t="s">
        <v>473</v>
      </c>
      <c r="C106" s="575"/>
      <c r="D106" s="576"/>
      <c r="E106" s="577"/>
      <c r="F106" s="650">
        <f>D106*E106</f>
        <v>0</v>
      </c>
      <c r="G106" s="654">
        <f>F106*C4</f>
        <v>0</v>
      </c>
    </row>
    <row r="107" spans="1:7" ht="15.9" hidden="1" customHeight="1" x14ac:dyDescent="0.25">
      <c r="A107" s="157" t="s">
        <v>243</v>
      </c>
      <c r="B107" s="110" t="s">
        <v>474</v>
      </c>
      <c r="C107" s="575"/>
      <c r="D107" s="576"/>
      <c r="E107" s="577"/>
      <c r="F107" s="650">
        <f>D107*E107</f>
        <v>0</v>
      </c>
      <c r="G107" s="654">
        <f>F107*C4</f>
        <v>0</v>
      </c>
    </row>
    <row r="108" spans="1:7" ht="15.9" hidden="1" customHeight="1" x14ac:dyDescent="0.25">
      <c r="A108" s="157" t="s">
        <v>244</v>
      </c>
      <c r="B108" s="110" t="s">
        <v>475</v>
      </c>
      <c r="C108" s="575"/>
      <c r="D108" s="576"/>
      <c r="E108" s="577"/>
      <c r="F108" s="650">
        <f>D108*E108</f>
        <v>0</v>
      </c>
      <c r="G108" s="654">
        <f>F108*C4</f>
        <v>0</v>
      </c>
    </row>
    <row r="109" spans="1:7" ht="15.9" customHeight="1" x14ac:dyDescent="0.25">
      <c r="A109" s="217" t="s">
        <v>109</v>
      </c>
      <c r="B109" s="218" t="s">
        <v>708</v>
      </c>
      <c r="C109" s="661"/>
      <c r="D109" s="662"/>
      <c r="E109" s="663"/>
      <c r="F109" s="570">
        <f>SUM(F110:F114)</f>
        <v>0</v>
      </c>
      <c r="G109" s="664">
        <f>SUM(G110:G114)</f>
        <v>0</v>
      </c>
    </row>
    <row r="110" spans="1:7" ht="15.9" hidden="1" customHeight="1" x14ac:dyDescent="0.25">
      <c r="A110" s="152" t="s">
        <v>245</v>
      </c>
      <c r="B110" s="110" t="s">
        <v>477</v>
      </c>
      <c r="C110" s="575"/>
      <c r="D110" s="576"/>
      <c r="E110" s="577"/>
      <c r="F110" s="650">
        <f>D110*E110</f>
        <v>0</v>
      </c>
      <c r="G110" s="654">
        <f>F110*C4</f>
        <v>0</v>
      </c>
    </row>
    <row r="111" spans="1:7" ht="15.9" hidden="1" customHeight="1" x14ac:dyDescent="0.25">
      <c r="A111" s="152" t="s">
        <v>246</v>
      </c>
      <c r="B111" s="110" t="s">
        <v>478</v>
      </c>
      <c r="C111" s="575"/>
      <c r="D111" s="576"/>
      <c r="E111" s="577"/>
      <c r="F111" s="650">
        <f>D111*E111</f>
        <v>0</v>
      </c>
      <c r="G111" s="654">
        <f>F111*C4</f>
        <v>0</v>
      </c>
    </row>
    <row r="112" spans="1:7" ht="15.9" hidden="1" customHeight="1" x14ac:dyDescent="0.25">
      <c r="A112" s="152" t="s">
        <v>247</v>
      </c>
      <c r="B112" s="110" t="s">
        <v>479</v>
      </c>
      <c r="C112" s="575"/>
      <c r="D112" s="576"/>
      <c r="E112" s="577"/>
      <c r="F112" s="650">
        <f>D112*E112</f>
        <v>0</v>
      </c>
      <c r="G112" s="654">
        <f>F112*C4</f>
        <v>0</v>
      </c>
    </row>
    <row r="113" spans="1:7" ht="15.9" hidden="1" customHeight="1" x14ac:dyDescent="0.25">
      <c r="A113" s="152" t="s">
        <v>248</v>
      </c>
      <c r="B113" s="110" t="s">
        <v>480</v>
      </c>
      <c r="C113" s="575"/>
      <c r="D113" s="576"/>
      <c r="E113" s="577"/>
      <c r="F113" s="650">
        <f>D113*E113</f>
        <v>0</v>
      </c>
      <c r="G113" s="654">
        <f>F113*C4</f>
        <v>0</v>
      </c>
    </row>
    <row r="114" spans="1:7" ht="15.9" hidden="1" customHeight="1" x14ac:dyDescent="0.25">
      <c r="A114" s="152" t="s">
        <v>249</v>
      </c>
      <c r="B114" s="110" t="s">
        <v>481</v>
      </c>
      <c r="C114" s="575"/>
      <c r="D114" s="576"/>
      <c r="E114" s="577"/>
      <c r="F114" s="650">
        <f>D114*E114</f>
        <v>0</v>
      </c>
      <c r="G114" s="654">
        <f>F114*C4</f>
        <v>0</v>
      </c>
    </row>
    <row r="115" spans="1:7" ht="15.9" customHeight="1" x14ac:dyDescent="0.25">
      <c r="A115" s="74"/>
      <c r="B115" s="153"/>
      <c r="C115" s="667"/>
      <c r="D115" s="580"/>
      <c r="E115" s="581"/>
      <c r="F115" s="650"/>
      <c r="G115" s="654"/>
    </row>
    <row r="116" spans="1:7" ht="15.9" customHeight="1" thickBot="1" x14ac:dyDescent="0.3">
      <c r="A116" s="103"/>
      <c r="B116" s="150" t="s">
        <v>130</v>
      </c>
      <c r="C116" s="480"/>
      <c r="D116" s="499"/>
      <c r="E116" s="485"/>
      <c r="F116" s="555">
        <f>SUM(F65+F67+F69+F71+F78+F84+F91+F97+F103+F109)</f>
        <v>390750000</v>
      </c>
      <c r="G116" s="659">
        <f>SUM(G65+G67+G69+G71+G78+G84+G91+G97+G103+G109)</f>
        <v>260500.00000000012</v>
      </c>
    </row>
    <row r="117" spans="1:7" ht="15.9" customHeight="1" thickTop="1" x14ac:dyDescent="0.25">
      <c r="A117" s="74"/>
      <c r="B117" s="35"/>
      <c r="C117" s="83"/>
      <c r="D117" s="443"/>
      <c r="E117" s="444"/>
      <c r="F117" s="445"/>
      <c r="G117" s="665"/>
    </row>
    <row r="118" spans="1:7" ht="15.9" customHeight="1" x14ac:dyDescent="0.25">
      <c r="A118" s="129">
        <v>3</v>
      </c>
      <c r="B118" s="130" t="s">
        <v>133</v>
      </c>
      <c r="C118" s="507"/>
      <c r="D118" s="508"/>
      <c r="E118" s="509"/>
      <c r="F118" s="509"/>
      <c r="G118" s="660"/>
    </row>
    <row r="119" spans="1:7" ht="15.9" customHeight="1" x14ac:dyDescent="0.25">
      <c r="A119" s="161" t="s">
        <v>138</v>
      </c>
      <c r="B119" s="144" t="s">
        <v>116</v>
      </c>
      <c r="C119" s="515"/>
      <c r="D119" s="516"/>
      <c r="E119" s="517"/>
      <c r="F119" s="643">
        <f>D119*E119</f>
        <v>0</v>
      </c>
      <c r="G119" s="668">
        <f>F119*C4</f>
        <v>0</v>
      </c>
    </row>
    <row r="120" spans="1:7" ht="15.9" customHeight="1" x14ac:dyDescent="0.25">
      <c r="A120" s="161" t="s">
        <v>139</v>
      </c>
      <c r="B120" s="144" t="s">
        <v>52</v>
      </c>
      <c r="C120" s="515"/>
      <c r="D120" s="516"/>
      <c r="E120" s="517"/>
      <c r="F120" s="643">
        <f t="shared" ref="F120:F128" si="2">D120*E120</f>
        <v>0</v>
      </c>
      <c r="G120" s="668">
        <f>F120*C4</f>
        <v>0</v>
      </c>
    </row>
    <row r="121" spans="1:7" ht="15.9" customHeight="1" x14ac:dyDescent="0.25">
      <c r="A121" s="161" t="s">
        <v>140</v>
      </c>
      <c r="B121" s="144" t="s">
        <v>112</v>
      </c>
      <c r="C121" s="342"/>
      <c r="D121" s="515"/>
      <c r="E121" s="516"/>
      <c r="F121" s="643">
        <f t="shared" si="2"/>
        <v>0</v>
      </c>
      <c r="G121" s="668">
        <f>F121*C4</f>
        <v>0</v>
      </c>
    </row>
    <row r="122" spans="1:7" ht="15.9" customHeight="1" x14ac:dyDescent="0.25">
      <c r="A122" s="161" t="s">
        <v>141</v>
      </c>
      <c r="B122" s="144" t="s">
        <v>146</v>
      </c>
      <c r="C122" s="342"/>
      <c r="D122" s="515"/>
      <c r="E122" s="516"/>
      <c r="F122" s="643">
        <f t="shared" si="2"/>
        <v>0</v>
      </c>
      <c r="G122" s="668">
        <f>F122*C4</f>
        <v>0</v>
      </c>
    </row>
    <row r="123" spans="1:7" ht="15.9" customHeight="1" x14ac:dyDescent="0.25">
      <c r="A123" s="161" t="s">
        <v>142</v>
      </c>
      <c r="B123" s="144" t="s">
        <v>147</v>
      </c>
      <c r="C123" s="342"/>
      <c r="D123" s="515"/>
      <c r="E123" s="516"/>
      <c r="F123" s="643">
        <f t="shared" si="2"/>
        <v>0</v>
      </c>
      <c r="G123" s="668">
        <f>F123*C4</f>
        <v>0</v>
      </c>
    </row>
    <row r="124" spans="1:7" ht="15.9" customHeight="1" x14ac:dyDescent="0.25">
      <c r="A124" s="161" t="s">
        <v>143</v>
      </c>
      <c r="B124" s="144" t="s">
        <v>251</v>
      </c>
      <c r="C124" s="342"/>
      <c r="D124" s="515"/>
      <c r="E124" s="516"/>
      <c r="F124" s="643">
        <f>D124*E124</f>
        <v>0</v>
      </c>
      <c r="G124" s="668">
        <f>F124*C4</f>
        <v>0</v>
      </c>
    </row>
    <row r="125" spans="1:7" ht="15.9" customHeight="1" x14ac:dyDescent="0.25">
      <c r="A125" s="161" t="s">
        <v>709</v>
      </c>
      <c r="B125" s="144" t="s">
        <v>145</v>
      </c>
      <c r="C125" s="575" t="s">
        <v>432</v>
      </c>
      <c r="D125" s="516">
        <v>12</v>
      </c>
      <c r="E125" s="516">
        <v>1500000</v>
      </c>
      <c r="F125" s="643">
        <f>D125*E125</f>
        <v>18000000</v>
      </c>
      <c r="G125" s="668">
        <f>F125*C4</f>
        <v>12000.000000000005</v>
      </c>
    </row>
    <row r="126" spans="1:7" ht="15.9" customHeight="1" x14ac:dyDescent="0.25">
      <c r="A126" s="161" t="s">
        <v>710</v>
      </c>
      <c r="B126" s="144" t="s">
        <v>171</v>
      </c>
      <c r="C126" s="575" t="s">
        <v>711</v>
      </c>
      <c r="D126" s="516">
        <v>1</v>
      </c>
      <c r="E126" s="516">
        <f>1500*1500</f>
        <v>2250000</v>
      </c>
      <c r="F126" s="643">
        <f>D126*E126</f>
        <v>2250000</v>
      </c>
      <c r="G126" s="668">
        <f>F126*$C$4</f>
        <v>1500.0000000000007</v>
      </c>
    </row>
    <row r="127" spans="1:7" ht="15.9" customHeight="1" x14ac:dyDescent="0.25">
      <c r="A127" s="161" t="s">
        <v>712</v>
      </c>
      <c r="B127" s="144" t="s">
        <v>713</v>
      </c>
      <c r="C127" s="575"/>
      <c r="D127" s="516"/>
      <c r="E127" s="516"/>
      <c r="F127" s="643">
        <f t="shared" si="2"/>
        <v>0</v>
      </c>
      <c r="G127" s="668">
        <f>F127*$C$4</f>
        <v>0</v>
      </c>
    </row>
    <row r="128" spans="1:7" ht="15.9" customHeight="1" x14ac:dyDescent="0.25">
      <c r="A128" s="161" t="s">
        <v>714</v>
      </c>
      <c r="B128" s="144" t="s">
        <v>715</v>
      </c>
      <c r="C128" s="575"/>
      <c r="D128" s="516"/>
      <c r="E128" s="516"/>
      <c r="F128" s="643">
        <f t="shared" si="2"/>
        <v>0</v>
      </c>
      <c r="G128" s="668">
        <f>F128*$C$4</f>
        <v>0</v>
      </c>
    </row>
    <row r="129" spans="1:7" ht="15.9" customHeight="1" x14ac:dyDescent="0.25">
      <c r="A129" s="74"/>
      <c r="B129" s="113"/>
      <c r="C129" s="401"/>
      <c r="D129" s="602"/>
      <c r="E129" s="603"/>
      <c r="F129" s="445"/>
      <c r="G129" s="665"/>
    </row>
    <row r="130" spans="1:7" ht="15.9" customHeight="1" thickBot="1" x14ac:dyDescent="0.3">
      <c r="A130" s="103"/>
      <c r="B130" s="150" t="s">
        <v>114</v>
      </c>
      <c r="C130" s="480"/>
      <c r="D130" s="499"/>
      <c r="E130" s="485"/>
      <c r="F130" s="555">
        <f>SUM(F119:F128)</f>
        <v>20250000</v>
      </c>
      <c r="G130" s="659">
        <f>SUM(G119:G128)</f>
        <v>13500.000000000005</v>
      </c>
    </row>
    <row r="131" spans="1:7" ht="15.9" customHeight="1" thickTop="1" x14ac:dyDescent="0.25">
      <c r="A131" s="74"/>
      <c r="B131" s="81"/>
      <c r="C131" s="642"/>
      <c r="D131" s="669"/>
      <c r="E131" s="641"/>
      <c r="F131" s="650"/>
      <c r="G131" s="670"/>
    </row>
    <row r="132" spans="1:7" ht="15.9" customHeight="1" x14ac:dyDescent="0.25">
      <c r="A132" s="129">
        <v>4</v>
      </c>
      <c r="B132" s="130" t="s">
        <v>113</v>
      </c>
      <c r="C132" s="507"/>
      <c r="D132" s="508"/>
      <c r="E132" s="509"/>
      <c r="F132" s="509"/>
      <c r="G132" s="660"/>
    </row>
    <row r="133" spans="1:7" ht="15.9" customHeight="1" x14ac:dyDescent="0.25">
      <c r="A133" s="74" t="s">
        <v>19</v>
      </c>
      <c r="B133" s="81"/>
      <c r="C133" s="642"/>
      <c r="D133" s="669"/>
      <c r="E133" s="641"/>
      <c r="F133" s="650"/>
      <c r="G133" s="670"/>
    </row>
    <row r="134" spans="1:7" ht="15.9" customHeight="1" x14ac:dyDescent="0.25">
      <c r="A134" s="81" t="s">
        <v>672</v>
      </c>
      <c r="B134" s="167" t="s">
        <v>48</v>
      </c>
      <c r="C134" s="575" t="s">
        <v>432</v>
      </c>
      <c r="D134" s="516">
        <v>12</v>
      </c>
      <c r="E134" s="517">
        <f>400000</f>
        <v>400000</v>
      </c>
      <c r="F134" s="650">
        <f>D134*E134</f>
        <v>4800000</v>
      </c>
      <c r="G134" s="670">
        <f>F134*C4</f>
        <v>3200.0000000000014</v>
      </c>
    </row>
    <row r="135" spans="1:7" ht="15.9" customHeight="1" x14ac:dyDescent="0.25">
      <c r="A135" s="81" t="s">
        <v>149</v>
      </c>
      <c r="B135" s="167" t="s">
        <v>49</v>
      </c>
      <c r="C135" s="515"/>
      <c r="D135" s="516"/>
      <c r="E135" s="517"/>
      <c r="F135" s="650">
        <f>D135*E135</f>
        <v>0</v>
      </c>
      <c r="G135" s="670">
        <f>F135*C4</f>
        <v>0</v>
      </c>
    </row>
    <row r="136" spans="1:7" ht="15.9" customHeight="1" x14ac:dyDescent="0.25">
      <c r="A136" s="74" t="s">
        <v>7</v>
      </c>
      <c r="B136" s="141"/>
      <c r="C136" s="671"/>
      <c r="D136" s="672"/>
      <c r="E136" s="673"/>
      <c r="F136" s="650"/>
      <c r="G136" s="670"/>
    </row>
    <row r="137" spans="1:7" ht="15.9" customHeight="1" x14ac:dyDescent="0.25">
      <c r="A137" s="81" t="s">
        <v>150</v>
      </c>
      <c r="B137" s="167" t="s">
        <v>50</v>
      </c>
      <c r="C137" s="575" t="s">
        <v>432</v>
      </c>
      <c r="D137" s="516">
        <v>12</v>
      </c>
      <c r="E137" s="517">
        <v>150000</v>
      </c>
      <c r="F137" s="650">
        <f>D137*E137</f>
        <v>1800000</v>
      </c>
      <c r="G137" s="654">
        <f>F137*C4</f>
        <v>1200.0000000000005</v>
      </c>
    </row>
    <row r="138" spans="1:7" ht="15.9" customHeight="1" x14ac:dyDescent="0.25">
      <c r="A138" s="81" t="s">
        <v>151</v>
      </c>
      <c r="B138" s="141" t="s">
        <v>51</v>
      </c>
      <c r="C138" s="515"/>
      <c r="D138" s="516"/>
      <c r="E138" s="517"/>
      <c r="F138" s="650">
        <f>D138*E138</f>
        <v>0</v>
      </c>
      <c r="G138" s="654">
        <f>F138*C4</f>
        <v>0</v>
      </c>
    </row>
    <row r="139" spans="1:7" ht="15.9" customHeight="1" x14ac:dyDescent="0.25">
      <c r="A139" s="74" t="s">
        <v>8</v>
      </c>
      <c r="B139" s="141"/>
      <c r="C139" s="592"/>
      <c r="D139" s="593"/>
      <c r="E139" s="594"/>
      <c r="F139" s="650"/>
      <c r="G139" s="670"/>
    </row>
    <row r="140" spans="1:7" ht="15.9" customHeight="1" x14ac:dyDescent="0.25">
      <c r="A140" s="81" t="s">
        <v>716</v>
      </c>
      <c r="B140" s="144" t="s">
        <v>717</v>
      </c>
      <c r="C140" s="575" t="s">
        <v>432</v>
      </c>
      <c r="D140" s="516">
        <v>12</v>
      </c>
      <c r="E140" s="517">
        <f>3500000*5%</f>
        <v>175000</v>
      </c>
      <c r="F140" s="650">
        <f>D140*E140</f>
        <v>2100000</v>
      </c>
      <c r="G140" s="670">
        <f>F140*C4</f>
        <v>1400.0000000000007</v>
      </c>
    </row>
    <row r="141" spans="1:7" ht="15.9" customHeight="1" x14ac:dyDescent="0.25">
      <c r="A141" s="81" t="s">
        <v>152</v>
      </c>
      <c r="B141" s="153" t="s">
        <v>54</v>
      </c>
      <c r="C141" s="515"/>
      <c r="D141" s="516"/>
      <c r="E141" s="517"/>
      <c r="F141" s="650">
        <f>D141*E141</f>
        <v>0</v>
      </c>
      <c r="G141" s="670">
        <f>F141*C4</f>
        <v>0</v>
      </c>
    </row>
    <row r="142" spans="1:7" ht="15.9" customHeight="1" x14ac:dyDescent="0.25">
      <c r="A142" s="81" t="s">
        <v>153</v>
      </c>
      <c r="B142" s="153" t="s">
        <v>55</v>
      </c>
      <c r="C142" s="515"/>
      <c r="D142" s="516"/>
      <c r="E142" s="674"/>
      <c r="F142" s="650">
        <f>D142*E142</f>
        <v>0</v>
      </c>
      <c r="G142" s="670">
        <f>F142*C4</f>
        <v>0</v>
      </c>
    </row>
    <row r="143" spans="1:7" ht="15.9" customHeight="1" x14ac:dyDescent="0.25">
      <c r="A143" s="81" t="s">
        <v>154</v>
      </c>
      <c r="B143" s="153" t="s">
        <v>131</v>
      </c>
      <c r="C143" s="515"/>
      <c r="D143" s="516"/>
      <c r="E143" s="675"/>
      <c r="F143" s="650">
        <f>D143*E143</f>
        <v>0</v>
      </c>
      <c r="G143" s="670">
        <f>F143*C4</f>
        <v>0</v>
      </c>
    </row>
    <row r="144" spans="1:7" ht="15.9" customHeight="1" x14ac:dyDescent="0.25">
      <c r="A144" s="81" t="s">
        <v>155</v>
      </c>
      <c r="B144" s="153" t="s">
        <v>132</v>
      </c>
      <c r="C144" s="515"/>
      <c r="D144" s="516"/>
      <c r="E144" s="675"/>
      <c r="F144" s="650">
        <f>D144*E144</f>
        <v>0</v>
      </c>
      <c r="G144" s="670">
        <f>F144*C4</f>
        <v>0</v>
      </c>
    </row>
    <row r="145" spans="1:7" ht="15.9" customHeight="1" x14ac:dyDescent="0.25">
      <c r="A145" s="74"/>
      <c r="B145" s="35"/>
      <c r="C145" s="5"/>
      <c r="D145" s="5"/>
      <c r="E145" s="5"/>
      <c r="F145" s="172"/>
      <c r="G145" s="654"/>
    </row>
    <row r="146" spans="1:7" ht="15.9" customHeight="1" x14ac:dyDescent="0.25">
      <c r="A146" s="203"/>
      <c r="B146" s="204" t="s">
        <v>194</v>
      </c>
      <c r="C146" s="204"/>
      <c r="D146" s="204"/>
      <c r="E146" s="204"/>
      <c r="F146" s="205">
        <f>SUM(F134:F136)</f>
        <v>4800000</v>
      </c>
      <c r="G146" s="676">
        <f>SUM(G134:G136)</f>
        <v>3200.0000000000014</v>
      </c>
    </row>
    <row r="147" spans="1:7" ht="15.9" customHeight="1" x14ac:dyDescent="0.25">
      <c r="A147" s="203"/>
      <c r="B147" s="204" t="s">
        <v>7</v>
      </c>
      <c r="C147" s="204"/>
      <c r="D147" s="204"/>
      <c r="E147" s="204"/>
      <c r="F147" s="205">
        <f>SUM(F137:F139)</f>
        <v>1800000</v>
      </c>
      <c r="G147" s="676">
        <f>SUM(G137:G139)</f>
        <v>1200.0000000000005</v>
      </c>
    </row>
    <row r="148" spans="1:7" ht="15.9" customHeight="1" x14ac:dyDescent="0.25">
      <c r="A148" s="203"/>
      <c r="B148" s="204" t="s">
        <v>8</v>
      </c>
      <c r="C148" s="204"/>
      <c r="D148" s="204"/>
      <c r="E148" s="204"/>
      <c r="F148" s="205">
        <f>SUM(F140:F145)</f>
        <v>2100000</v>
      </c>
      <c r="G148" s="676">
        <f>SUM(G140:G145)</f>
        <v>1400.0000000000007</v>
      </c>
    </row>
    <row r="149" spans="1:7" ht="15.9" customHeight="1" thickBot="1" x14ac:dyDescent="0.3">
      <c r="A149" s="103"/>
      <c r="B149" s="150" t="s">
        <v>115</v>
      </c>
      <c r="C149" s="480"/>
      <c r="D149" s="499"/>
      <c r="E149" s="485"/>
      <c r="F149" s="555">
        <f>SUM(F134+F135+F137+F138+F140+F141+F142+F143+F144)</f>
        <v>8700000</v>
      </c>
      <c r="G149" s="659">
        <f>SUM(G134+G135+G137+G138+G140+G142+G141+G143+G144)</f>
        <v>5800.0000000000027</v>
      </c>
    </row>
    <row r="150" spans="1:7" ht="15.9" customHeight="1" thickTop="1" x14ac:dyDescent="0.25">
      <c r="A150" s="103"/>
      <c r="B150" s="150"/>
      <c r="C150" s="480"/>
      <c r="D150" s="499"/>
      <c r="E150" s="485"/>
      <c r="F150" s="497"/>
      <c r="G150" s="677"/>
    </row>
    <row r="151" spans="1:7" ht="15.9" customHeight="1" x14ac:dyDescent="0.25">
      <c r="A151" s="129">
        <v>5</v>
      </c>
      <c r="B151" s="130" t="s">
        <v>117</v>
      </c>
      <c r="C151" s="507"/>
      <c r="D151" s="508"/>
      <c r="E151" s="509"/>
      <c r="F151" s="509"/>
      <c r="G151" s="660"/>
    </row>
    <row r="152" spans="1:7" ht="15.9" customHeight="1" x14ac:dyDescent="0.25">
      <c r="A152" s="81" t="s">
        <v>157</v>
      </c>
      <c r="B152" s="167" t="s">
        <v>11</v>
      </c>
      <c r="C152" s="515"/>
      <c r="D152" s="516"/>
      <c r="E152" s="517"/>
      <c r="F152" s="650">
        <f>D152*E152</f>
        <v>0</v>
      </c>
      <c r="G152" s="654">
        <f>F152*C4</f>
        <v>0</v>
      </c>
    </row>
    <row r="153" spans="1:7" ht="15.9" customHeight="1" x14ac:dyDescent="0.25">
      <c r="A153" s="81" t="s">
        <v>158</v>
      </c>
      <c r="B153" s="167" t="s">
        <v>12</v>
      </c>
      <c r="C153" s="515"/>
      <c r="D153" s="516"/>
      <c r="E153" s="517"/>
      <c r="F153" s="650">
        <f>D153*E153</f>
        <v>0</v>
      </c>
      <c r="G153" s="654">
        <f>F153*C4</f>
        <v>0</v>
      </c>
    </row>
    <row r="154" spans="1:7" ht="15.9" customHeight="1" x14ac:dyDescent="0.25">
      <c r="A154" s="81" t="s">
        <v>159</v>
      </c>
      <c r="B154" s="167" t="s">
        <v>13</v>
      </c>
      <c r="C154" s="515"/>
      <c r="D154" s="516"/>
      <c r="E154" s="517"/>
      <c r="F154" s="650">
        <f>D154*E154</f>
        <v>0</v>
      </c>
      <c r="G154" s="654">
        <f>F154*C4</f>
        <v>0</v>
      </c>
    </row>
    <row r="155" spans="1:7" ht="15.9" customHeight="1" x14ac:dyDescent="0.25">
      <c r="A155" s="81" t="s">
        <v>160</v>
      </c>
      <c r="B155" s="167" t="s">
        <v>14</v>
      </c>
      <c r="C155" s="515"/>
      <c r="D155" s="516"/>
      <c r="E155" s="517"/>
      <c r="F155" s="650">
        <f>D155*E155</f>
        <v>0</v>
      </c>
      <c r="G155" s="654">
        <f>F155*C4</f>
        <v>0</v>
      </c>
    </row>
    <row r="156" spans="1:7" ht="15.9" customHeight="1" x14ac:dyDescent="0.25">
      <c r="A156" s="81" t="s">
        <v>161</v>
      </c>
      <c r="B156" s="167" t="s">
        <v>60</v>
      </c>
      <c r="C156" s="515"/>
      <c r="D156" s="516"/>
      <c r="E156" s="517"/>
      <c r="F156" s="650">
        <f>D156*E156</f>
        <v>0</v>
      </c>
      <c r="G156" s="654">
        <f>F156*C4</f>
        <v>0</v>
      </c>
    </row>
    <row r="157" spans="1:7" ht="15.9" customHeight="1" x14ac:dyDescent="0.25">
      <c r="A157" s="74"/>
      <c r="B157" s="167"/>
      <c r="C157" s="602"/>
      <c r="D157" s="603"/>
      <c r="E157" s="604"/>
      <c r="F157" s="650"/>
      <c r="G157" s="654"/>
    </row>
    <row r="158" spans="1:7" ht="15.9" customHeight="1" thickBot="1" x14ac:dyDescent="0.3">
      <c r="A158" s="103"/>
      <c r="B158" s="150" t="s">
        <v>118</v>
      </c>
      <c r="C158" s="480"/>
      <c r="D158" s="499"/>
      <c r="E158" s="485"/>
      <c r="F158" s="555">
        <f>SUM(F152:F156)</f>
        <v>0</v>
      </c>
      <c r="G158" s="659">
        <f>SUM(G152:G156)</f>
        <v>0</v>
      </c>
    </row>
    <row r="159" spans="1:7" ht="15.9" customHeight="1" thickTop="1" x14ac:dyDescent="0.25">
      <c r="A159" s="74"/>
      <c r="B159" s="167"/>
      <c r="C159" s="443"/>
      <c r="D159" s="444"/>
      <c r="E159" s="445"/>
      <c r="F159" s="650"/>
      <c r="G159" s="654"/>
    </row>
    <row r="160" spans="1:7" ht="15.9" customHeight="1" x14ac:dyDescent="0.25">
      <c r="A160" s="129">
        <v>6</v>
      </c>
      <c r="B160" s="130" t="s">
        <v>119</v>
      </c>
      <c r="C160" s="507"/>
      <c r="D160" s="508"/>
      <c r="E160" s="509"/>
      <c r="F160" s="509"/>
      <c r="G160" s="660"/>
    </row>
    <row r="161" spans="1:8" ht="15.9" customHeight="1" x14ac:dyDescent="0.25">
      <c r="A161" s="103" t="s">
        <v>120</v>
      </c>
      <c r="B161" s="103" t="s">
        <v>77</v>
      </c>
      <c r="C161" s="644"/>
      <c r="D161" s="655"/>
      <c r="E161" s="656"/>
      <c r="F161" s="643"/>
      <c r="G161" s="678"/>
    </row>
    <row r="162" spans="1:8" ht="15.9" customHeight="1" x14ac:dyDescent="0.25">
      <c r="A162" s="113" t="s">
        <v>121</v>
      </c>
      <c r="B162" s="174" t="s">
        <v>78</v>
      </c>
      <c r="C162" s="515"/>
      <c r="D162" s="516"/>
      <c r="E162" s="517"/>
      <c r="F162" s="643">
        <f>D162*E162</f>
        <v>0</v>
      </c>
      <c r="G162" s="678">
        <f>F162*C4</f>
        <v>0</v>
      </c>
    </row>
    <row r="163" spans="1:8" ht="15.9" customHeight="1" x14ac:dyDescent="0.25">
      <c r="A163" s="113" t="s">
        <v>122</v>
      </c>
      <c r="B163" s="174" t="s">
        <v>79</v>
      </c>
      <c r="C163" s="515"/>
      <c r="D163" s="516"/>
      <c r="E163" s="517"/>
      <c r="F163" s="643">
        <f>D163*E163</f>
        <v>0</v>
      </c>
      <c r="G163" s="678">
        <f>F163*C4</f>
        <v>0</v>
      </c>
    </row>
    <row r="164" spans="1:8" ht="15.9" customHeight="1" x14ac:dyDescent="0.25">
      <c r="A164" s="113" t="s">
        <v>123</v>
      </c>
      <c r="B164" s="174" t="s">
        <v>80</v>
      </c>
      <c r="C164" s="515"/>
      <c r="D164" s="516"/>
      <c r="E164" s="517"/>
      <c r="F164" s="643">
        <f>D164*E164</f>
        <v>0</v>
      </c>
      <c r="G164" s="678">
        <f>F164*C4</f>
        <v>0</v>
      </c>
    </row>
    <row r="165" spans="1:8" ht="15.9" customHeight="1" x14ac:dyDescent="0.25">
      <c r="A165" s="113" t="s">
        <v>124</v>
      </c>
      <c r="B165" s="174" t="s">
        <v>81</v>
      </c>
      <c r="C165" s="515"/>
      <c r="D165" s="516"/>
      <c r="E165" s="517"/>
      <c r="F165" s="643">
        <f>D165*E165</f>
        <v>0</v>
      </c>
      <c r="G165" s="678">
        <f>F165*C4</f>
        <v>0</v>
      </c>
    </row>
    <row r="166" spans="1:8" ht="15.9" customHeight="1" x14ac:dyDescent="0.25">
      <c r="A166" s="103"/>
      <c r="B166" s="174"/>
      <c r="C166" s="651"/>
      <c r="D166" s="652"/>
      <c r="E166" s="653"/>
      <c r="F166" s="643"/>
      <c r="G166" s="678"/>
    </row>
    <row r="167" spans="1:8" ht="15.9" customHeight="1" thickBot="1" x14ac:dyDescent="0.3">
      <c r="A167" s="103"/>
      <c r="B167" s="150" t="s">
        <v>82</v>
      </c>
      <c r="C167" s="644"/>
      <c r="D167" s="655"/>
      <c r="E167" s="656"/>
      <c r="F167" s="555">
        <f>SUM(F162:F165)</f>
        <v>0</v>
      </c>
      <c r="G167" s="659">
        <f>SUM(G162:G165)</f>
        <v>0</v>
      </c>
    </row>
    <row r="168" spans="1:8" ht="15.9" customHeight="1" thickTop="1" x14ac:dyDescent="0.25">
      <c r="A168" s="74"/>
      <c r="B168" s="178"/>
      <c r="C168" s="443"/>
      <c r="D168" s="444"/>
      <c r="E168" s="445"/>
      <c r="F168" s="607"/>
      <c r="G168" s="654"/>
    </row>
    <row r="169" spans="1:8" ht="15.9" customHeight="1" x14ac:dyDescent="0.25">
      <c r="A169" s="103" t="s">
        <v>125</v>
      </c>
      <c r="B169" s="103" t="s">
        <v>198</v>
      </c>
      <c r="C169" s="644"/>
      <c r="D169" s="655"/>
      <c r="E169" s="656"/>
      <c r="F169" s="643"/>
      <c r="G169" s="678"/>
    </row>
    <row r="170" spans="1:8" ht="15.9" customHeight="1" x14ac:dyDescent="0.25">
      <c r="A170" s="113" t="s">
        <v>126</v>
      </c>
      <c r="B170" s="605" t="s">
        <v>135</v>
      </c>
      <c r="C170" s="515"/>
      <c r="D170" s="516"/>
      <c r="E170" s="517"/>
      <c r="F170" s="643">
        <f>D170*E170</f>
        <v>0</v>
      </c>
      <c r="G170" s="678">
        <f>F170*C4</f>
        <v>0</v>
      </c>
      <c r="H170" s="830"/>
    </row>
    <row r="171" spans="1:8" ht="15.9" customHeight="1" x14ac:dyDescent="0.25">
      <c r="A171" s="113" t="s">
        <v>127</v>
      </c>
      <c r="B171" s="174" t="s">
        <v>136</v>
      </c>
      <c r="C171" s="515" t="s">
        <v>718</v>
      </c>
      <c r="D171" s="516">
        <v>1</v>
      </c>
      <c r="E171" s="517">
        <v>1500000</v>
      </c>
      <c r="F171" s="643">
        <f>D171*E171</f>
        <v>1500000</v>
      </c>
      <c r="G171" s="678">
        <f>F171*C4</f>
        <v>1000.0000000000005</v>
      </c>
      <c r="H171" s="829" t="s">
        <v>930</v>
      </c>
    </row>
    <row r="172" spans="1:8" ht="15.9" customHeight="1" x14ac:dyDescent="0.25">
      <c r="A172" s="113" t="s">
        <v>128</v>
      </c>
      <c r="B172" s="174" t="s">
        <v>134</v>
      </c>
      <c r="C172" s="515"/>
      <c r="D172" s="516"/>
      <c r="E172" s="517"/>
      <c r="F172" s="643">
        <f>D172*E172</f>
        <v>0</v>
      </c>
      <c r="G172" s="678">
        <f>F172*C4</f>
        <v>0</v>
      </c>
    </row>
    <row r="173" spans="1:8" ht="15.9" customHeight="1" x14ac:dyDescent="0.25">
      <c r="A173" s="113" t="s">
        <v>129</v>
      </c>
      <c r="B173" s="174" t="s">
        <v>719</v>
      </c>
      <c r="C173" s="515" t="s">
        <v>720</v>
      </c>
      <c r="D173" s="515">
        <v>1</v>
      </c>
      <c r="E173" s="517">
        <v>1500000</v>
      </c>
      <c r="F173" s="643">
        <f>D173*E173</f>
        <v>1500000</v>
      </c>
      <c r="G173" s="679">
        <f>F173*C4</f>
        <v>1000.0000000000005</v>
      </c>
    </row>
    <row r="174" spans="1:8" ht="15.9" customHeight="1" x14ac:dyDescent="0.25">
      <c r="A174" s="103" t="s">
        <v>319</v>
      </c>
      <c r="B174" s="828" t="s">
        <v>929</v>
      </c>
      <c r="C174" s="515" t="s">
        <v>718</v>
      </c>
      <c r="D174" s="516">
        <v>1</v>
      </c>
      <c r="E174" s="517">
        <v>1500000</v>
      </c>
      <c r="F174" s="643">
        <f>D174*E174</f>
        <v>1500000</v>
      </c>
      <c r="G174" s="678">
        <f>F174*C4</f>
        <v>1000.0000000000005</v>
      </c>
      <c r="H174" s="829" t="s">
        <v>932</v>
      </c>
    </row>
    <row r="175" spans="1:8" ht="15.9" customHeight="1" thickBot="1" x14ac:dyDescent="0.3">
      <c r="A175" s="103"/>
      <c r="B175" s="150" t="s">
        <v>199</v>
      </c>
      <c r="C175" s="644"/>
      <c r="D175" s="655"/>
      <c r="E175" s="656"/>
      <c r="F175" s="555">
        <f>SUM(F170:F173)</f>
        <v>3000000</v>
      </c>
      <c r="G175" s="659">
        <f>SUM(G170:G173)</f>
        <v>2000.0000000000009</v>
      </c>
    </row>
    <row r="176" spans="1:8" ht="15.9" customHeight="1" thickTop="1" x14ac:dyDescent="0.25">
      <c r="A176" s="74"/>
      <c r="B176" s="178"/>
      <c r="C176" s="443"/>
      <c r="D176" s="444"/>
      <c r="E176" s="445"/>
      <c r="F176" s="607"/>
      <c r="G176" s="654"/>
    </row>
    <row r="177" spans="1:7" ht="15.9" customHeight="1" x14ac:dyDescent="0.25">
      <c r="A177" s="103" t="s">
        <v>163</v>
      </c>
      <c r="B177" s="103" t="s">
        <v>162</v>
      </c>
      <c r="C177" s="644"/>
      <c r="D177" s="655"/>
      <c r="E177" s="656"/>
      <c r="F177" s="643"/>
      <c r="G177" s="678"/>
    </row>
    <row r="178" spans="1:7" ht="15.9" customHeight="1" x14ac:dyDescent="0.25">
      <c r="A178" s="113" t="s">
        <v>168</v>
      </c>
      <c r="B178" s="174" t="s">
        <v>307</v>
      </c>
      <c r="C178" s="515"/>
      <c r="D178" s="516"/>
      <c r="E178" s="517"/>
      <c r="F178" s="643">
        <f>D178*E178</f>
        <v>0</v>
      </c>
      <c r="G178" s="678">
        <f>F178*C4</f>
        <v>0</v>
      </c>
    </row>
    <row r="179" spans="1:7" ht="15.9" customHeight="1" x14ac:dyDescent="0.25">
      <c r="A179" s="113" t="s">
        <v>169</v>
      </c>
      <c r="B179" s="174" t="s">
        <v>165</v>
      </c>
      <c r="C179" s="515"/>
      <c r="D179" s="516"/>
      <c r="E179" s="517"/>
      <c r="F179" s="643">
        <f>D179*E179</f>
        <v>0</v>
      </c>
      <c r="G179" s="678">
        <f>F179*C4</f>
        <v>0</v>
      </c>
    </row>
    <row r="180" spans="1:7" ht="15.9" customHeight="1" x14ac:dyDescent="0.25">
      <c r="A180" s="113" t="s">
        <v>170</v>
      </c>
      <c r="B180" s="174" t="s">
        <v>166</v>
      </c>
      <c r="C180" s="515"/>
      <c r="D180" s="516"/>
      <c r="E180" s="517"/>
      <c r="F180" s="643">
        <f>D180*E180</f>
        <v>0</v>
      </c>
      <c r="G180" s="678">
        <f>F180*C4</f>
        <v>0</v>
      </c>
    </row>
    <row r="181" spans="1:7" ht="15.9" customHeight="1" x14ac:dyDescent="0.25">
      <c r="A181" s="103"/>
      <c r="B181" s="174"/>
      <c r="C181" s="651"/>
      <c r="D181" s="652"/>
      <c r="E181" s="653"/>
      <c r="F181" s="643"/>
      <c r="G181" s="678"/>
    </row>
    <row r="182" spans="1:7" ht="15.9" customHeight="1" thickBot="1" x14ac:dyDescent="0.3">
      <c r="A182" s="103"/>
      <c r="B182" s="150" t="s">
        <v>167</v>
      </c>
      <c r="C182" s="644"/>
      <c r="D182" s="655"/>
      <c r="E182" s="656"/>
      <c r="F182" s="555">
        <f>SUM(F178:F180)</f>
        <v>0</v>
      </c>
      <c r="G182" s="659">
        <f>SUM(G178:G180)</f>
        <v>0</v>
      </c>
    </row>
    <row r="183" spans="1:7" ht="15.9" customHeight="1" thickTop="1" x14ac:dyDescent="0.25">
      <c r="A183" s="103"/>
      <c r="B183" s="150"/>
      <c r="C183" s="644"/>
      <c r="D183" s="655"/>
      <c r="E183" s="656"/>
      <c r="F183" s="497"/>
      <c r="G183" s="677"/>
    </row>
    <row r="184" spans="1:7" ht="15.9" customHeight="1" x14ac:dyDescent="0.25">
      <c r="A184" s="103" t="s">
        <v>485</v>
      </c>
      <c r="B184" s="150" t="s">
        <v>486</v>
      </c>
      <c r="C184" s="644"/>
      <c r="D184" s="655"/>
      <c r="E184" s="656"/>
      <c r="F184" s="497"/>
      <c r="G184" s="677"/>
    </row>
    <row r="185" spans="1:7" ht="15.9" customHeight="1" x14ac:dyDescent="0.25">
      <c r="A185" s="113" t="s">
        <v>487</v>
      </c>
      <c r="B185" s="161" t="s">
        <v>488</v>
      </c>
      <c r="C185" s="680"/>
      <c r="D185" s="655"/>
      <c r="E185" s="656"/>
      <c r="F185" s="497">
        <f>(F62+F116+F130+F149+F158+F175+F215)*C185</f>
        <v>0</v>
      </c>
      <c r="G185" s="677">
        <f>F185*C4</f>
        <v>0</v>
      </c>
    </row>
    <row r="186" spans="1:7" ht="14.1" customHeight="1" x14ac:dyDescent="0.25">
      <c r="A186" s="113"/>
      <c r="B186" s="161"/>
      <c r="C186" s="644"/>
      <c r="D186" s="655"/>
      <c r="E186" s="656"/>
      <c r="F186" s="497"/>
      <c r="G186" s="677"/>
    </row>
    <row r="187" spans="1:7" ht="15.9" customHeight="1" x14ac:dyDescent="0.25">
      <c r="A187" s="103"/>
      <c r="B187" s="150"/>
      <c r="C187" s="480"/>
      <c r="D187" s="499"/>
      <c r="E187" s="485"/>
      <c r="F187" s="497"/>
      <c r="G187" s="677"/>
    </row>
    <row r="188" spans="1:7" ht="15.9" customHeight="1" x14ac:dyDescent="0.25">
      <c r="A188" s="103"/>
      <c r="B188" s="150"/>
      <c r="C188" s="480"/>
      <c r="D188" s="499"/>
      <c r="E188" s="485"/>
      <c r="F188" s="497"/>
      <c r="G188" s="677"/>
    </row>
    <row r="189" spans="1:7" ht="15.9" customHeight="1" thickBot="1" x14ac:dyDescent="0.3">
      <c r="A189" s="180"/>
      <c r="B189" s="181" t="s">
        <v>53</v>
      </c>
      <c r="C189" s="610"/>
      <c r="D189" s="611"/>
      <c r="E189" s="612"/>
      <c r="F189" s="613">
        <f>SUM(F62+F116+F130+F149+F158+F167+F175+F182)</f>
        <v>496950000</v>
      </c>
      <c r="G189" s="681">
        <f>F189*C4</f>
        <v>331300.00000000017</v>
      </c>
    </row>
    <row r="190" spans="1:7" ht="15.9" customHeight="1" thickTop="1" x14ac:dyDescent="0.25">
      <c r="A190" s="74"/>
      <c r="B190" s="91"/>
      <c r="C190" s="443"/>
      <c r="D190" s="444"/>
      <c r="E190" s="445"/>
      <c r="F190" s="650"/>
      <c r="G190" s="650"/>
    </row>
    <row r="191" spans="1:7" ht="15.9" customHeight="1" x14ac:dyDescent="0.25">
      <c r="A191" s="74" t="s">
        <v>61</v>
      </c>
      <c r="B191" s="35"/>
      <c r="C191" s="443"/>
      <c r="D191" s="444"/>
      <c r="E191" s="445"/>
      <c r="F191" s="650"/>
      <c r="G191" s="654"/>
    </row>
    <row r="192" spans="1:7" ht="15.9" customHeight="1" x14ac:dyDescent="0.25">
      <c r="A192" s="74" t="s">
        <v>18</v>
      </c>
      <c r="B192" s="185" t="s">
        <v>9</v>
      </c>
      <c r="C192" s="443"/>
      <c r="D192" s="444"/>
      <c r="E192" s="445"/>
      <c r="F192" s="650"/>
      <c r="G192" s="654"/>
    </row>
    <row r="193" spans="1:7" ht="15.9" customHeight="1" x14ac:dyDescent="0.25">
      <c r="A193" s="74"/>
      <c r="B193" s="153" t="s">
        <v>721</v>
      </c>
      <c r="C193" s="575" t="s">
        <v>432</v>
      </c>
      <c r="D193" s="516">
        <v>12</v>
      </c>
      <c r="E193" s="517">
        <f>13000000*5%</f>
        <v>650000</v>
      </c>
      <c r="F193" s="650">
        <f>D193*E193</f>
        <v>7800000</v>
      </c>
      <c r="G193" s="654">
        <f>F193*$C$4</f>
        <v>5200.0000000000027</v>
      </c>
    </row>
    <row r="194" spans="1:7" ht="15.9" customHeight="1" x14ac:dyDescent="0.25">
      <c r="A194" s="74"/>
      <c r="B194" s="153" t="s">
        <v>727</v>
      </c>
      <c r="C194" s="575" t="s">
        <v>432</v>
      </c>
      <c r="D194" s="516">
        <v>12</v>
      </c>
      <c r="E194" s="517">
        <f>9000000*5%</f>
        <v>450000</v>
      </c>
      <c r="F194" s="650">
        <f>D194*E194</f>
        <v>5400000</v>
      </c>
      <c r="G194" s="654">
        <f>F194*$C$4</f>
        <v>3600.0000000000018</v>
      </c>
    </row>
    <row r="195" spans="1:7" ht="15.9" customHeight="1" x14ac:dyDescent="0.25">
      <c r="A195" s="74"/>
      <c r="B195" s="153" t="s">
        <v>722</v>
      </c>
      <c r="C195" s="575" t="s">
        <v>432</v>
      </c>
      <c r="D195" s="516">
        <v>12</v>
      </c>
      <c r="E195" s="517">
        <f>9000000*5%</f>
        <v>450000</v>
      </c>
      <c r="F195" s="650">
        <f t="shared" ref="F195:F210" si="3">D195*E195</f>
        <v>5400000</v>
      </c>
      <c r="G195" s="654">
        <f t="shared" ref="G195:G210" si="4">F195*$C$4</f>
        <v>3600.0000000000018</v>
      </c>
    </row>
    <row r="196" spans="1:7" ht="15.9" customHeight="1" x14ac:dyDescent="0.25">
      <c r="A196" s="74"/>
      <c r="B196" s="153" t="s">
        <v>723</v>
      </c>
      <c r="C196" s="575" t="s">
        <v>432</v>
      </c>
      <c r="D196" s="516">
        <v>12</v>
      </c>
      <c r="E196" s="517">
        <f>9000000*5%</f>
        <v>450000</v>
      </c>
      <c r="F196" s="650">
        <f t="shared" si="3"/>
        <v>5400000</v>
      </c>
      <c r="G196" s="654">
        <f t="shared" si="4"/>
        <v>3600.0000000000018</v>
      </c>
    </row>
    <row r="197" spans="1:7" ht="15.9" customHeight="1" x14ac:dyDescent="0.25">
      <c r="A197" s="74"/>
      <c r="B197" s="153" t="s">
        <v>724</v>
      </c>
      <c r="C197" s="575" t="s">
        <v>432</v>
      </c>
      <c r="D197" s="516">
        <v>12</v>
      </c>
      <c r="E197" s="517">
        <f>4000000*5%</f>
        <v>200000</v>
      </c>
      <c r="F197" s="650">
        <f t="shared" si="3"/>
        <v>2400000</v>
      </c>
      <c r="G197" s="654">
        <f t="shared" si="4"/>
        <v>1600.0000000000007</v>
      </c>
    </row>
    <row r="198" spans="1:7" ht="15.9" customHeight="1" x14ac:dyDescent="0.25">
      <c r="A198" s="74"/>
      <c r="B198" s="153" t="s">
        <v>725</v>
      </c>
      <c r="C198" s="575" t="s">
        <v>432</v>
      </c>
      <c r="D198" s="516">
        <v>12</v>
      </c>
      <c r="E198" s="517">
        <f>4000000*5%</f>
        <v>200000</v>
      </c>
      <c r="F198" s="650">
        <f t="shared" si="3"/>
        <v>2400000</v>
      </c>
      <c r="G198" s="654">
        <f t="shared" si="4"/>
        <v>1600.0000000000007</v>
      </c>
    </row>
    <row r="199" spans="1:7" ht="15.9" customHeight="1" x14ac:dyDescent="0.25">
      <c r="A199" s="74"/>
      <c r="B199" s="153" t="s">
        <v>726</v>
      </c>
      <c r="C199" s="575" t="s">
        <v>432</v>
      </c>
      <c r="D199" s="516">
        <v>12</v>
      </c>
      <c r="E199" s="517">
        <f>3000000*5%</f>
        <v>150000</v>
      </c>
      <c r="F199" s="650">
        <f t="shared" si="3"/>
        <v>1800000</v>
      </c>
      <c r="G199" s="654">
        <f t="shared" si="4"/>
        <v>1200.0000000000005</v>
      </c>
    </row>
    <row r="200" spans="1:7" ht="15.9" customHeight="1" x14ac:dyDescent="0.25">
      <c r="A200" s="74"/>
      <c r="B200" s="153" t="s">
        <v>728</v>
      </c>
      <c r="C200" s="575" t="s">
        <v>432</v>
      </c>
      <c r="D200" s="516">
        <v>12</v>
      </c>
      <c r="E200" s="517">
        <f>5000000*5%</f>
        <v>250000</v>
      </c>
      <c r="F200" s="650">
        <f t="shared" si="3"/>
        <v>3000000</v>
      </c>
      <c r="G200" s="654">
        <f t="shared" si="4"/>
        <v>2000.0000000000009</v>
      </c>
    </row>
    <row r="201" spans="1:7" ht="15.9" customHeight="1" x14ac:dyDescent="0.25">
      <c r="A201" s="74"/>
      <c r="B201" s="153" t="s">
        <v>729</v>
      </c>
      <c r="C201" s="575" t="s">
        <v>432</v>
      </c>
      <c r="D201" s="516">
        <v>12</v>
      </c>
      <c r="E201" s="517">
        <f>2000000*5%</f>
        <v>100000</v>
      </c>
      <c r="F201" s="650">
        <f t="shared" si="3"/>
        <v>1200000</v>
      </c>
      <c r="G201" s="654">
        <f t="shared" si="4"/>
        <v>800.00000000000034</v>
      </c>
    </row>
    <row r="202" spans="1:7" ht="15.9" customHeight="1" x14ac:dyDescent="0.25">
      <c r="A202" s="74"/>
      <c r="B202" s="153" t="s">
        <v>730</v>
      </c>
      <c r="C202" s="575" t="s">
        <v>432</v>
      </c>
      <c r="D202" s="516">
        <v>12</v>
      </c>
      <c r="E202" s="517">
        <f>3000000*5%</f>
        <v>150000</v>
      </c>
      <c r="F202" s="650">
        <f t="shared" si="3"/>
        <v>1800000</v>
      </c>
      <c r="G202" s="654">
        <f t="shared" si="4"/>
        <v>1200.0000000000005</v>
      </c>
    </row>
    <row r="203" spans="1:7" ht="15.9" customHeight="1" x14ac:dyDescent="0.25">
      <c r="A203" s="74"/>
      <c r="B203" s="153" t="s">
        <v>731</v>
      </c>
      <c r="C203" s="575" t="s">
        <v>432</v>
      </c>
      <c r="D203" s="516">
        <v>12</v>
      </c>
      <c r="E203" s="517">
        <f>4000000*5%</f>
        <v>200000</v>
      </c>
      <c r="F203" s="650">
        <f t="shared" si="3"/>
        <v>2400000</v>
      </c>
      <c r="G203" s="654">
        <f t="shared" si="4"/>
        <v>1600.0000000000007</v>
      </c>
    </row>
    <row r="204" spans="1:7" ht="15.9" customHeight="1" x14ac:dyDescent="0.25">
      <c r="A204" s="74"/>
      <c r="B204" s="186" t="s">
        <v>39</v>
      </c>
      <c r="C204" s="602"/>
      <c r="D204" s="603"/>
      <c r="E204" s="604"/>
      <c r="F204" s="650">
        <f t="shared" si="3"/>
        <v>0</v>
      </c>
      <c r="G204" s="654">
        <f t="shared" si="4"/>
        <v>0</v>
      </c>
    </row>
    <row r="205" spans="1:7" ht="15.9" customHeight="1" x14ac:dyDescent="0.25">
      <c r="A205" s="74"/>
      <c r="B205" s="153" t="s">
        <v>732</v>
      </c>
      <c r="C205" s="575" t="s">
        <v>432</v>
      </c>
      <c r="D205" s="516">
        <v>12</v>
      </c>
      <c r="E205" s="517">
        <f>7250000*5%</f>
        <v>362500</v>
      </c>
      <c r="F205" s="650">
        <f>D205*E205</f>
        <v>4350000</v>
      </c>
      <c r="G205" s="654">
        <f>F205*$C$4</f>
        <v>2900.0000000000014</v>
      </c>
    </row>
    <row r="206" spans="1:7" ht="15.9" customHeight="1" x14ac:dyDescent="0.25">
      <c r="A206" s="74"/>
      <c r="B206" s="153" t="s">
        <v>733</v>
      </c>
      <c r="C206" s="575" t="s">
        <v>432</v>
      </c>
      <c r="D206" s="516">
        <v>12</v>
      </c>
      <c r="E206" s="517">
        <f>3000000*5%</f>
        <v>150000</v>
      </c>
      <c r="F206" s="650">
        <f>D206*E206</f>
        <v>1800000</v>
      </c>
      <c r="G206" s="654">
        <f>F206*$C$4</f>
        <v>1200.0000000000005</v>
      </c>
    </row>
    <row r="207" spans="1:7" ht="15.9" customHeight="1" x14ac:dyDescent="0.25">
      <c r="A207" s="74"/>
      <c r="B207" s="153" t="s">
        <v>734</v>
      </c>
      <c r="C207" s="575" t="s">
        <v>432</v>
      </c>
      <c r="D207" s="516">
        <v>12</v>
      </c>
      <c r="E207" s="517">
        <f>1200000*5%</f>
        <v>60000</v>
      </c>
      <c r="F207" s="650">
        <f>D207*E207</f>
        <v>720000</v>
      </c>
      <c r="G207" s="654">
        <f>F207*$C$4</f>
        <v>480.00000000000023</v>
      </c>
    </row>
    <row r="208" spans="1:7" ht="15.9" customHeight="1" x14ac:dyDescent="0.25">
      <c r="A208" s="74"/>
      <c r="B208" s="186" t="s">
        <v>43</v>
      </c>
      <c r="C208" s="602"/>
      <c r="D208" s="603"/>
      <c r="E208" s="604"/>
      <c r="F208" s="650">
        <f t="shared" si="3"/>
        <v>0</v>
      </c>
      <c r="G208" s="654">
        <f t="shared" si="4"/>
        <v>0</v>
      </c>
    </row>
    <row r="209" spans="1:8" ht="15.9" customHeight="1" x14ac:dyDescent="0.25">
      <c r="A209" s="74"/>
      <c r="B209" s="153" t="s">
        <v>735</v>
      </c>
      <c r="C209" s="575" t="s">
        <v>432</v>
      </c>
      <c r="D209" s="516">
        <v>12</v>
      </c>
      <c r="E209" s="517">
        <f>2500000*5%</f>
        <v>125000</v>
      </c>
      <c r="F209" s="650">
        <f>D209*E209</f>
        <v>1500000</v>
      </c>
      <c r="G209" s="654">
        <f>F209*$C$4</f>
        <v>1000.0000000000005</v>
      </c>
    </row>
    <row r="210" spans="1:8" ht="15.9" customHeight="1" x14ac:dyDescent="0.25">
      <c r="A210" s="74"/>
      <c r="B210" s="186" t="s">
        <v>45</v>
      </c>
      <c r="C210" s="5"/>
      <c r="D210" s="5"/>
      <c r="E210" s="5"/>
      <c r="F210" s="650">
        <f t="shared" si="3"/>
        <v>0</v>
      </c>
      <c r="G210" s="654">
        <f t="shared" si="4"/>
        <v>0</v>
      </c>
    </row>
    <row r="211" spans="1:8" ht="15.9" customHeight="1" x14ac:dyDescent="0.25">
      <c r="A211" s="74"/>
      <c r="B211" s="141" t="s">
        <v>736</v>
      </c>
      <c r="C211" s="575" t="s">
        <v>711</v>
      </c>
      <c r="D211" s="516">
        <v>1</v>
      </c>
      <c r="E211" s="517">
        <v>180000</v>
      </c>
      <c r="F211" s="650">
        <f>D211*E211</f>
        <v>180000</v>
      </c>
      <c r="G211" s="654">
        <f>F211*$C$4</f>
        <v>120.00000000000006</v>
      </c>
    </row>
    <row r="212" spans="1:8" ht="15.9" customHeight="1" x14ac:dyDescent="0.25">
      <c r="A212" s="74"/>
      <c r="B212" s="153" t="s">
        <v>737</v>
      </c>
      <c r="C212" s="575" t="s">
        <v>711</v>
      </c>
      <c r="D212" s="516">
        <v>1</v>
      </c>
      <c r="E212" s="517">
        <v>300000</v>
      </c>
      <c r="F212" s="650">
        <f>D212*E212</f>
        <v>300000</v>
      </c>
      <c r="G212" s="654">
        <f>F212*$C$4</f>
        <v>200.00000000000009</v>
      </c>
    </row>
    <row r="213" spans="1:8" ht="15.9" customHeight="1" x14ac:dyDescent="0.25">
      <c r="A213" s="74"/>
      <c r="B213" s="153" t="s">
        <v>738</v>
      </c>
      <c r="C213" s="575" t="s">
        <v>711</v>
      </c>
      <c r="D213" s="516">
        <v>1</v>
      </c>
      <c r="E213" s="517">
        <v>150000</v>
      </c>
      <c r="F213" s="650">
        <f>D213*E213</f>
        <v>150000</v>
      </c>
      <c r="G213" s="654">
        <f>F213*$C$4</f>
        <v>100.00000000000004</v>
      </c>
    </row>
    <row r="214" spans="1:8" ht="15.9" customHeight="1" x14ac:dyDescent="0.25">
      <c r="A214" s="74"/>
      <c r="B214" s="153"/>
      <c r="C214" s="602"/>
      <c r="D214" s="603"/>
      <c r="E214" s="604"/>
      <c r="F214" s="650"/>
      <c r="G214" s="654"/>
    </row>
    <row r="215" spans="1:8" ht="15.9" customHeight="1" x14ac:dyDescent="0.25">
      <c r="A215" s="181"/>
      <c r="B215" s="181" t="s">
        <v>62</v>
      </c>
      <c r="C215" s="610"/>
      <c r="D215" s="611"/>
      <c r="E215" s="612"/>
      <c r="F215" s="558">
        <f>SUM(F193:F214)</f>
        <v>48000000</v>
      </c>
      <c r="G215" s="558">
        <f>SUM(G192:G213)</f>
        <v>32000.000000000007</v>
      </c>
    </row>
    <row r="216" spans="1:8" ht="15.9" customHeight="1" x14ac:dyDescent="0.25">
      <c r="A216" s="150"/>
      <c r="B216" s="150"/>
      <c r="C216" s="480"/>
      <c r="D216" s="499"/>
      <c r="E216" s="485"/>
      <c r="F216" s="748">
        <f>(F215/F218)</f>
        <v>8.8081475364712364E-2</v>
      </c>
      <c r="G216" s="748">
        <f>(G215/G218)</f>
        <v>8.8081475364712336E-2</v>
      </c>
    </row>
    <row r="217" spans="1:8" ht="15.9" customHeight="1" x14ac:dyDescent="0.25">
      <c r="A217" s="150"/>
      <c r="B217" s="150"/>
      <c r="C217" s="480"/>
      <c r="D217" s="499"/>
      <c r="E217" s="485"/>
      <c r="F217" s="624"/>
      <c r="G217" s="624"/>
    </row>
    <row r="218" spans="1:8" ht="15.9" customHeight="1" thickBot="1" x14ac:dyDescent="0.3">
      <c r="A218" s="74"/>
      <c r="B218" s="74" t="s">
        <v>27</v>
      </c>
      <c r="C218" s="443"/>
      <c r="D218" s="444"/>
      <c r="E218" s="445"/>
      <c r="F218" s="625">
        <f>SUM(F189+F215)</f>
        <v>544950000</v>
      </c>
      <c r="G218" s="625">
        <f>SUM(G189+G215)</f>
        <v>363300.00000000017</v>
      </c>
    </row>
    <row r="219" spans="1:8" ht="15.9" customHeight="1" thickTop="1" x14ac:dyDescent="0.25">
      <c r="A219" s="74"/>
      <c r="B219" s="35"/>
      <c r="C219" s="443"/>
      <c r="D219" s="444"/>
      <c r="E219" s="445"/>
      <c r="F219" s="650"/>
      <c r="G219" s="770"/>
    </row>
    <row r="220" spans="1:8" ht="15.9" customHeight="1" x14ac:dyDescent="0.25">
      <c r="A220" s="74" t="s">
        <v>36</v>
      </c>
      <c r="B220" s="39"/>
      <c r="C220" s="443"/>
      <c r="D220" s="444"/>
      <c r="E220" s="445"/>
      <c r="F220" s="1">
        <f>F218*0.03</f>
        <v>16348500</v>
      </c>
      <c r="G220" s="1">
        <f>G218*0.03</f>
        <v>10899.000000000005</v>
      </c>
      <c r="H220" s="829" t="s">
        <v>931</v>
      </c>
    </row>
    <row r="221" spans="1:8" ht="15.9" customHeight="1" x14ac:dyDescent="0.25">
      <c r="A221" s="74"/>
      <c r="B221" s="35"/>
      <c r="C221" s="443"/>
      <c r="D221" s="444"/>
      <c r="E221" s="445"/>
      <c r="F221" s="650"/>
      <c r="G221" s="35"/>
    </row>
    <row r="222" spans="1:8" ht="15.9" customHeight="1" thickBot="1" x14ac:dyDescent="0.3">
      <c r="A222" s="117"/>
      <c r="B222" s="117" t="s">
        <v>28</v>
      </c>
      <c r="C222" s="491"/>
      <c r="D222" s="628"/>
      <c r="E222" s="629"/>
      <c r="F222" s="647">
        <f>SUM(F220+F218)</f>
        <v>561298500</v>
      </c>
      <c r="G222" s="647">
        <f>SUM(G220+G218)</f>
        <v>374199.00000000017</v>
      </c>
    </row>
    <row r="223" spans="1:8" ht="15.9" customHeight="1" x14ac:dyDescent="0.25">
      <c r="A223" s="74"/>
      <c r="B223" s="35"/>
      <c r="C223" s="443"/>
      <c r="D223" s="444"/>
      <c r="E223" s="445"/>
      <c r="F223" s="650"/>
      <c r="G223" s="35"/>
    </row>
    <row r="224" spans="1:8" ht="15.9" customHeight="1" thickBot="1" x14ac:dyDescent="0.3">
      <c r="A224" s="191" t="s">
        <v>24</v>
      </c>
      <c r="B224" s="192"/>
      <c r="C224" s="632"/>
      <c r="D224" s="633"/>
      <c r="E224" s="634"/>
      <c r="F224" s="635">
        <f>SUM(F222-F17)</f>
        <v>561298500</v>
      </c>
      <c r="G224" s="635">
        <f>SUM(G222-G16)</f>
        <v>374199.00000000017</v>
      </c>
    </row>
    <row r="225" spans="1:7" ht="15.9" customHeight="1" thickTop="1" x14ac:dyDescent="0.4">
      <c r="A225" s="74"/>
      <c r="B225" s="35"/>
      <c r="C225" s="443"/>
      <c r="D225" s="639"/>
      <c r="E225" s="445"/>
      <c r="F225" s="641"/>
      <c r="G225" s="418"/>
    </row>
    <row r="226" spans="1:7" ht="15.9" customHeight="1" x14ac:dyDescent="0.25">
      <c r="A226" s="74"/>
      <c r="B226" s="35"/>
      <c r="C226" s="443"/>
      <c r="D226" s="444"/>
      <c r="E226" s="445"/>
      <c r="F226" s="641"/>
      <c r="G226" s="418"/>
    </row>
    <row r="227" spans="1:7" ht="15.9" customHeight="1" x14ac:dyDescent="0.25">
      <c r="A227" s="74"/>
      <c r="B227" s="35"/>
      <c r="C227" s="443"/>
      <c r="D227" s="444"/>
      <c r="E227" s="445"/>
      <c r="F227" s="641"/>
      <c r="G227" s="418"/>
    </row>
    <row r="228" spans="1:7" ht="15.9" customHeight="1" x14ac:dyDescent="0.25">
      <c r="A228" s="74"/>
      <c r="B228" s="35"/>
      <c r="C228" s="443"/>
      <c r="D228" s="444"/>
      <c r="E228" s="445"/>
      <c r="F228" s="641"/>
      <c r="G228" s="418"/>
    </row>
    <row r="229" spans="1:7" ht="15.9" customHeight="1" x14ac:dyDescent="0.25">
      <c r="A229" s="74"/>
      <c r="B229" s="35"/>
      <c r="C229" s="443"/>
      <c r="D229" s="444"/>
      <c r="E229" s="445"/>
      <c r="F229" s="641"/>
      <c r="G229" s="418"/>
    </row>
    <row r="230" spans="1:7" ht="15.9" customHeight="1" x14ac:dyDescent="0.25">
      <c r="A230" s="74"/>
      <c r="B230" s="35"/>
      <c r="C230" s="443"/>
      <c r="D230" s="444"/>
      <c r="E230" s="445"/>
      <c r="F230" s="641"/>
      <c r="G230" s="418"/>
    </row>
    <row r="231" spans="1:7" ht="15.9" customHeight="1" x14ac:dyDescent="0.25">
      <c r="A231" s="74"/>
      <c r="B231" s="35"/>
      <c r="C231" s="443"/>
      <c r="D231" s="444"/>
      <c r="E231" s="445"/>
      <c r="F231" s="641"/>
      <c r="G231" s="445"/>
    </row>
    <row r="232" spans="1:7" ht="15.9" customHeight="1" x14ac:dyDescent="0.25">
      <c r="A232" s="74"/>
      <c r="B232" s="35"/>
      <c r="C232" s="443"/>
      <c r="D232" s="444"/>
      <c r="E232" s="445"/>
      <c r="F232" s="641"/>
      <c r="G232" s="418"/>
    </row>
  </sheetData>
  <mergeCells count="1">
    <mergeCell ref="A1:G1"/>
  </mergeCells>
  <conditionalFormatting sqref="F216:G217">
    <cfRule type="cellIs" dxfId="6" priority="1" stopIfTrue="1" operator="greaterThan">
      <formula>15</formula>
    </cfRule>
  </conditionalFormatting>
  <pageMargins left="0.7" right="0.7" top="0.75" bottom="0.75" header="0.3" footer="0.3"/>
  <pageSetup paperSize="9" scale="29" fitToHeight="3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3"/>
  <sheetViews>
    <sheetView view="pageBreakPreview" zoomScale="110" zoomScaleNormal="100" workbookViewId="0">
      <pane ySplit="14" topLeftCell="A206" activePane="bottomLeft" state="frozen"/>
      <selection pane="bottomLeft" activeCell="X212" sqref="X212"/>
    </sheetView>
  </sheetViews>
  <sheetFormatPr defaultColWidth="9.109375" defaultRowHeight="13.2" x14ac:dyDescent="0.25"/>
  <cols>
    <col min="1" max="1" width="6.33203125" style="442" customWidth="1"/>
    <col min="2" max="2" width="47.109375" style="441" customWidth="1"/>
    <col min="3" max="3" width="11.33203125" style="443" customWidth="1"/>
    <col min="4" max="4" width="10.44140625" style="444" bestFit="1" customWidth="1"/>
    <col min="5" max="5" width="12.109375" style="445" customWidth="1"/>
    <col min="6" max="6" width="14" style="445" bestFit="1" customWidth="1"/>
    <col min="7" max="7" width="12.5546875" style="441" customWidth="1"/>
    <col min="8" max="17" width="10.109375" style="441" hidden="1" customWidth="1"/>
    <col min="18" max="19" width="14.33203125" style="441" hidden="1" customWidth="1"/>
    <col min="20" max="23" width="10.109375" style="441" hidden="1" customWidth="1"/>
    <col min="24" max="24" width="13.109375" style="441" customWidth="1"/>
    <col min="25" max="25" width="18.33203125" style="441" customWidth="1"/>
    <col min="26" max="16384" width="9.109375" style="441"/>
  </cols>
  <sheetData>
    <row r="1" spans="1:27" x14ac:dyDescent="0.25">
      <c r="A1" s="864" t="s">
        <v>66</v>
      </c>
      <c r="B1" s="865"/>
      <c r="C1" s="865"/>
      <c r="D1" s="865"/>
      <c r="E1" s="865"/>
      <c r="F1" s="865"/>
      <c r="G1" s="866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</row>
    <row r="2" spans="1:27" x14ac:dyDescent="0.25">
      <c r="A2" s="438"/>
      <c r="B2" s="439"/>
      <c r="C2" s="439"/>
      <c r="D2" s="439"/>
      <c r="E2" s="439"/>
      <c r="F2" s="439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</row>
    <row r="3" spans="1:27" x14ac:dyDescent="0.25">
      <c r="A3" s="442" t="s">
        <v>10</v>
      </c>
    </row>
    <row r="4" spans="1:27" x14ac:dyDescent="0.25">
      <c r="B4" s="446" t="s">
        <v>25</v>
      </c>
      <c r="C4" s="447">
        <v>4.6499999999999996E-3</v>
      </c>
      <c r="Y4" s="448"/>
    </row>
    <row r="5" spans="1:27" x14ac:dyDescent="0.25">
      <c r="B5" s="449" t="s">
        <v>172</v>
      </c>
      <c r="X5" s="441">
        <v>4.6499999999999996E-3</v>
      </c>
    </row>
    <row r="6" spans="1:27" x14ac:dyDescent="0.25">
      <c r="B6" s="450"/>
    </row>
    <row r="7" spans="1:27" x14ac:dyDescent="0.25">
      <c r="A7" s="442" t="s">
        <v>23</v>
      </c>
      <c r="C7" s="451" t="s">
        <v>633</v>
      </c>
    </row>
    <row r="8" spans="1:27" x14ac:dyDescent="0.25">
      <c r="A8" s="442" t="s">
        <v>67</v>
      </c>
      <c r="C8" s="450" t="s">
        <v>391</v>
      </c>
    </row>
    <row r="9" spans="1:27" x14ac:dyDescent="0.25">
      <c r="A9" s="442" t="s">
        <v>68</v>
      </c>
      <c r="C9" s="452" t="str">
        <f>Consolidated!C9</f>
        <v xml:space="preserve">Humanitarian Response for People Affected by the Syrian Conflict </v>
      </c>
    </row>
    <row r="10" spans="1:27" x14ac:dyDescent="0.25">
      <c r="A10" s="442" t="s">
        <v>56</v>
      </c>
      <c r="C10" s="443" t="str">
        <f>Consolidated!C10</f>
        <v>January 1st 2019-December 31st 2019</v>
      </c>
    </row>
    <row r="11" spans="1:27" hidden="1" x14ac:dyDescent="0.25">
      <c r="B11" s="442"/>
      <c r="C11" s="453"/>
      <c r="D11" s="454"/>
      <c r="E11" s="438"/>
      <c r="F11" s="455" t="s">
        <v>69</v>
      </c>
      <c r="G11" s="455" t="s">
        <v>69</v>
      </c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6"/>
      <c r="Z11" s="456"/>
      <c r="AA11" s="456"/>
    </row>
    <row r="12" spans="1:27" hidden="1" x14ac:dyDescent="0.25">
      <c r="B12" s="442"/>
      <c r="C12" s="453"/>
      <c r="D12" s="454"/>
      <c r="E12" s="438"/>
      <c r="F12" s="455" t="s">
        <v>5</v>
      </c>
      <c r="G12" s="455" t="s">
        <v>5</v>
      </c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6"/>
      <c r="Z12" s="456"/>
      <c r="AA12" s="456"/>
    </row>
    <row r="13" spans="1:27" hidden="1" x14ac:dyDescent="0.25">
      <c r="A13" s="457" t="s">
        <v>47</v>
      </c>
      <c r="C13" s="453"/>
      <c r="D13" s="454"/>
      <c r="E13" s="458"/>
      <c r="F13" s="458" t="s">
        <v>20</v>
      </c>
      <c r="G13" s="459" t="s">
        <v>4</v>
      </c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59"/>
      <c r="V13" s="459"/>
      <c r="W13" s="459"/>
      <c r="X13" s="459"/>
      <c r="Y13" s="456"/>
      <c r="Z13" s="456"/>
      <c r="AA13" s="456"/>
    </row>
    <row r="14" spans="1:27" s="461" customFormat="1" hidden="1" x14ac:dyDescent="0.25">
      <c r="A14" s="460"/>
      <c r="C14" s="462"/>
      <c r="D14" s="463"/>
      <c r="E14" s="464"/>
      <c r="F14" s="464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</row>
    <row r="15" spans="1:27" s="467" customFormat="1" hidden="1" x14ac:dyDescent="0.25">
      <c r="A15" s="466"/>
      <c r="C15" s="468"/>
      <c r="D15" s="469"/>
      <c r="E15" s="470"/>
      <c r="F15" s="470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</row>
    <row r="16" spans="1:27" s="478" customFormat="1" hidden="1" x14ac:dyDescent="0.25">
      <c r="A16" s="472" t="s">
        <v>21</v>
      </c>
      <c r="B16" s="473"/>
      <c r="C16" s="474"/>
      <c r="D16" s="475"/>
      <c r="E16" s="476"/>
      <c r="F16" s="477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</row>
    <row r="17" spans="1:26" s="478" customFormat="1" hidden="1" x14ac:dyDescent="0.25">
      <c r="A17" s="472" t="s">
        <v>32</v>
      </c>
      <c r="B17" s="479" t="s">
        <v>33</v>
      </c>
      <c r="C17" s="472" t="s">
        <v>174</v>
      </c>
      <c r="D17" s="472" t="s">
        <v>65</v>
      </c>
      <c r="E17" s="476"/>
      <c r="F17" s="477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0"/>
      <c r="T17" s="480"/>
      <c r="U17" s="480"/>
      <c r="V17" s="480"/>
      <c r="W17" s="480"/>
      <c r="X17" s="480"/>
      <c r="Y17" s="473"/>
      <c r="Z17" s="473"/>
    </row>
    <row r="18" spans="1:26" s="478" customFormat="1" hidden="1" x14ac:dyDescent="0.25">
      <c r="A18" s="481"/>
      <c r="B18" s="482"/>
      <c r="C18" s="480" t="s">
        <v>175</v>
      </c>
      <c r="D18" s="483"/>
      <c r="E18" s="476"/>
      <c r="F18" s="484">
        <v>0</v>
      </c>
      <c r="G18" s="485">
        <f>F18*C4</f>
        <v>0</v>
      </c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Y18" s="473"/>
      <c r="Z18" s="473"/>
    </row>
    <row r="19" spans="1:26" s="478" customFormat="1" hidden="1" x14ac:dyDescent="0.25">
      <c r="A19" s="481"/>
      <c r="B19" s="482"/>
      <c r="C19" s="480" t="s">
        <v>176</v>
      </c>
      <c r="D19" s="483"/>
      <c r="E19" s="476"/>
      <c r="F19" s="484">
        <v>0</v>
      </c>
      <c r="G19" s="485">
        <f>F19*C4</f>
        <v>0</v>
      </c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73"/>
      <c r="Z19" s="473"/>
    </row>
    <row r="20" spans="1:26" s="478" customFormat="1" hidden="1" x14ac:dyDescent="0.25">
      <c r="A20" s="481"/>
      <c r="B20" s="482"/>
      <c r="C20" s="480" t="s">
        <v>177</v>
      </c>
      <c r="D20" s="483"/>
      <c r="E20" s="476"/>
      <c r="F20" s="484">
        <v>0</v>
      </c>
      <c r="G20" s="485">
        <f>F20*C4</f>
        <v>0</v>
      </c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73"/>
      <c r="Z20" s="473"/>
    </row>
    <row r="21" spans="1:26" s="478" customFormat="1" hidden="1" x14ac:dyDescent="0.25">
      <c r="A21" s="481"/>
      <c r="B21" s="482"/>
      <c r="C21" s="480" t="s">
        <v>178</v>
      </c>
      <c r="D21" s="483"/>
      <c r="E21" s="476"/>
      <c r="F21" s="484">
        <v>0</v>
      </c>
      <c r="G21" s="485">
        <f>F21*C4</f>
        <v>0</v>
      </c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73"/>
      <c r="Z21" s="473"/>
    </row>
    <row r="22" spans="1:26" s="478" customFormat="1" hidden="1" x14ac:dyDescent="0.25">
      <c r="A22" s="481"/>
      <c r="B22" s="482"/>
      <c r="C22" s="480" t="s">
        <v>179</v>
      </c>
      <c r="D22" s="483"/>
      <c r="E22" s="476"/>
      <c r="F22" s="484">
        <v>0</v>
      </c>
      <c r="G22" s="485">
        <f>F22*C4</f>
        <v>0</v>
      </c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480"/>
      <c r="T22" s="480"/>
      <c r="U22" s="480"/>
      <c r="V22" s="480"/>
      <c r="W22" s="480"/>
      <c r="X22" s="480"/>
      <c r="Y22" s="473"/>
      <c r="Z22" s="473"/>
    </row>
    <row r="23" spans="1:26" s="478" customFormat="1" hidden="1" x14ac:dyDescent="0.25">
      <c r="A23" s="481"/>
      <c r="B23" s="482"/>
      <c r="C23" s="480" t="s">
        <v>180</v>
      </c>
      <c r="D23" s="483"/>
      <c r="E23" s="476"/>
      <c r="F23" s="484">
        <v>0</v>
      </c>
      <c r="G23" s="485">
        <f>F23*C4</f>
        <v>0</v>
      </c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480"/>
      <c r="T23" s="480"/>
      <c r="U23" s="480"/>
      <c r="V23" s="480"/>
      <c r="W23" s="480"/>
      <c r="X23" s="480"/>
      <c r="Y23" s="473"/>
      <c r="Z23" s="473"/>
    </row>
    <row r="24" spans="1:26" s="478" customFormat="1" hidden="1" x14ac:dyDescent="0.25">
      <c r="A24" s="481"/>
      <c r="B24" s="482"/>
      <c r="C24" s="480" t="s">
        <v>181</v>
      </c>
      <c r="D24" s="483"/>
      <c r="E24" s="476"/>
      <c r="F24" s="484">
        <v>0</v>
      </c>
      <c r="G24" s="485">
        <f>F24*C4</f>
        <v>0</v>
      </c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  <c r="W24" s="480"/>
      <c r="X24" s="480"/>
      <c r="Y24" s="473"/>
      <c r="Z24" s="473"/>
    </row>
    <row r="25" spans="1:26" s="478" customFormat="1" hidden="1" x14ac:dyDescent="0.25">
      <c r="A25" s="481"/>
      <c r="B25" s="482"/>
      <c r="C25" s="480" t="s">
        <v>182</v>
      </c>
      <c r="D25" s="483"/>
      <c r="E25" s="476"/>
      <c r="F25" s="484">
        <v>0</v>
      </c>
      <c r="G25" s="485">
        <f>F25*C4</f>
        <v>0</v>
      </c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80"/>
      <c r="Y25" s="473"/>
      <c r="Z25" s="473"/>
    </row>
    <row r="26" spans="1:26" s="478" customFormat="1" hidden="1" x14ac:dyDescent="0.25">
      <c r="A26" s="481"/>
      <c r="B26" s="482"/>
      <c r="C26" s="480" t="s">
        <v>183</v>
      </c>
      <c r="D26" s="483"/>
      <c r="E26" s="476"/>
      <c r="F26" s="484">
        <v>0</v>
      </c>
      <c r="G26" s="485">
        <f>F26*C4</f>
        <v>0</v>
      </c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73"/>
      <c r="Z26" s="473"/>
    </row>
    <row r="27" spans="1:26" s="478" customFormat="1" hidden="1" x14ac:dyDescent="0.25">
      <c r="A27" s="481"/>
      <c r="B27" s="482"/>
      <c r="C27" s="480" t="s">
        <v>184</v>
      </c>
      <c r="D27" s="483"/>
      <c r="E27" s="476"/>
      <c r="F27" s="484">
        <v>0</v>
      </c>
      <c r="G27" s="485">
        <f>F27*C4</f>
        <v>0</v>
      </c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480"/>
      <c r="T27" s="480"/>
      <c r="U27" s="480"/>
      <c r="V27" s="480"/>
      <c r="W27" s="480"/>
      <c r="X27" s="480"/>
      <c r="Y27" s="473"/>
      <c r="Z27" s="473"/>
    </row>
    <row r="28" spans="1:26" s="478" customFormat="1" hidden="1" x14ac:dyDescent="0.25">
      <c r="A28" s="472"/>
      <c r="B28" s="479" t="s">
        <v>173</v>
      </c>
      <c r="C28" s="474"/>
      <c r="D28" s="475"/>
      <c r="E28" s="476"/>
      <c r="F28" s="485">
        <f>SUM(F18:F27)</f>
        <v>0</v>
      </c>
      <c r="G28" s="485">
        <f>SUM(G18:G27)</f>
        <v>0</v>
      </c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73"/>
      <c r="Z28" s="473"/>
    </row>
    <row r="29" spans="1:26" s="478" customFormat="1" hidden="1" x14ac:dyDescent="0.25">
      <c r="A29" s="472"/>
      <c r="B29" s="486"/>
      <c r="C29" s="474"/>
      <c r="D29" s="475"/>
      <c r="E29" s="476"/>
      <c r="F29" s="477"/>
      <c r="G29" s="485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73"/>
      <c r="Z29" s="473"/>
    </row>
    <row r="30" spans="1:26" s="478" customFormat="1" hidden="1" x14ac:dyDescent="0.25">
      <c r="A30" s="472" t="s">
        <v>34</v>
      </c>
      <c r="B30" s="473"/>
      <c r="C30" s="474"/>
      <c r="D30" s="475"/>
      <c r="E30" s="476"/>
      <c r="F30" s="477"/>
      <c r="G30" s="485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480"/>
      <c r="T30" s="480"/>
      <c r="U30" s="480"/>
      <c r="V30" s="480"/>
      <c r="W30" s="480"/>
      <c r="X30" s="480"/>
      <c r="Y30" s="473"/>
      <c r="Z30" s="473"/>
    </row>
    <row r="31" spans="1:26" s="478" customFormat="1" hidden="1" x14ac:dyDescent="0.25">
      <c r="A31" s="472" t="s">
        <v>32</v>
      </c>
      <c r="B31" s="479" t="s">
        <v>33</v>
      </c>
      <c r="C31" s="474" t="s">
        <v>174</v>
      </c>
      <c r="D31" s="475"/>
      <c r="E31" s="476"/>
      <c r="F31" s="477"/>
      <c r="G31" s="485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480"/>
      <c r="T31" s="480"/>
      <c r="U31" s="480"/>
      <c r="V31" s="480"/>
      <c r="W31" s="480"/>
      <c r="X31" s="480"/>
      <c r="Y31" s="473"/>
      <c r="Z31" s="473"/>
    </row>
    <row r="32" spans="1:26" s="478" customFormat="1" hidden="1" x14ac:dyDescent="0.25">
      <c r="A32" s="487"/>
      <c r="B32" s="482"/>
      <c r="C32" s="488"/>
      <c r="D32" s="475"/>
      <c r="E32" s="476"/>
      <c r="F32" s="484">
        <v>0</v>
      </c>
      <c r="G32" s="485">
        <f>(C4)*F32</f>
        <v>0</v>
      </c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480"/>
      <c r="T32" s="480"/>
      <c r="U32" s="480"/>
      <c r="V32" s="480"/>
      <c r="W32" s="480"/>
      <c r="X32" s="480"/>
      <c r="Y32" s="473"/>
      <c r="Z32" s="473"/>
    </row>
    <row r="33" spans="1:26" s="478" customFormat="1" hidden="1" x14ac:dyDescent="0.25">
      <c r="A33" s="487"/>
      <c r="B33" s="482"/>
      <c r="C33" s="488"/>
      <c r="D33" s="475"/>
      <c r="E33" s="476"/>
      <c r="F33" s="484">
        <v>0</v>
      </c>
      <c r="G33" s="485">
        <f>F33*C4</f>
        <v>0</v>
      </c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480"/>
      <c r="T33" s="480"/>
      <c r="U33" s="480"/>
      <c r="V33" s="480"/>
      <c r="W33" s="480"/>
      <c r="X33" s="480"/>
      <c r="Y33" s="473"/>
      <c r="Z33" s="473"/>
    </row>
    <row r="34" spans="1:26" s="478" customFormat="1" hidden="1" x14ac:dyDescent="0.25">
      <c r="A34" s="487"/>
      <c r="B34" s="482"/>
      <c r="C34" s="488"/>
      <c r="D34" s="475"/>
      <c r="E34" s="476"/>
      <c r="F34" s="484">
        <v>0</v>
      </c>
      <c r="G34" s="485">
        <f>F34*C4</f>
        <v>0</v>
      </c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480"/>
      <c r="T34" s="480"/>
      <c r="U34" s="480"/>
      <c r="V34" s="480"/>
      <c r="W34" s="480"/>
      <c r="X34" s="480"/>
      <c r="Y34" s="473"/>
      <c r="Z34" s="473"/>
    </row>
    <row r="35" spans="1:26" s="478" customFormat="1" hidden="1" x14ac:dyDescent="0.25">
      <c r="A35" s="487"/>
      <c r="B35" s="482"/>
      <c r="C35" s="488"/>
      <c r="D35" s="475"/>
      <c r="E35" s="476"/>
      <c r="F35" s="484">
        <v>0</v>
      </c>
      <c r="G35" s="485">
        <f>F35*C4</f>
        <v>0</v>
      </c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480"/>
      <c r="T35" s="480"/>
      <c r="U35" s="480"/>
      <c r="V35" s="480"/>
      <c r="W35" s="480"/>
      <c r="X35" s="480"/>
      <c r="Y35" s="473"/>
      <c r="Z35" s="473"/>
    </row>
    <row r="36" spans="1:26" s="478" customFormat="1" hidden="1" x14ac:dyDescent="0.25">
      <c r="A36" s="487"/>
      <c r="B36" s="482"/>
      <c r="C36" s="488"/>
      <c r="D36" s="475"/>
      <c r="E36" s="476"/>
      <c r="F36" s="484">
        <v>0</v>
      </c>
      <c r="G36" s="485">
        <f>F36*C4</f>
        <v>0</v>
      </c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480"/>
      <c r="T36" s="480"/>
      <c r="U36" s="480"/>
      <c r="V36" s="480"/>
      <c r="W36" s="480"/>
      <c r="X36" s="480"/>
      <c r="Y36" s="473"/>
      <c r="Z36" s="473"/>
    </row>
    <row r="37" spans="1:26" s="478" customFormat="1" hidden="1" x14ac:dyDescent="0.25">
      <c r="A37" s="487"/>
      <c r="B37" s="482"/>
      <c r="C37" s="488"/>
      <c r="D37" s="475"/>
      <c r="E37" s="476"/>
      <c r="F37" s="484">
        <v>0</v>
      </c>
      <c r="G37" s="485">
        <f>F37*C4</f>
        <v>0</v>
      </c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0"/>
      <c r="U37" s="480"/>
      <c r="V37" s="480"/>
      <c r="W37" s="480"/>
      <c r="X37" s="480"/>
      <c r="Y37" s="473"/>
      <c r="Z37" s="473"/>
    </row>
    <row r="38" spans="1:26" s="478" customFormat="1" hidden="1" x14ac:dyDescent="0.25">
      <c r="A38" s="487"/>
      <c r="B38" s="482"/>
      <c r="C38" s="488"/>
      <c r="D38" s="475"/>
      <c r="E38" s="476"/>
      <c r="F38" s="484">
        <v>0</v>
      </c>
      <c r="G38" s="485">
        <f>F38*C4</f>
        <v>0</v>
      </c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480"/>
      <c r="T38" s="480"/>
      <c r="U38" s="480"/>
      <c r="V38" s="480"/>
      <c r="W38" s="480"/>
      <c r="X38" s="480"/>
      <c r="Y38" s="473"/>
      <c r="Z38" s="473"/>
    </row>
    <row r="39" spans="1:26" s="478" customFormat="1" hidden="1" x14ac:dyDescent="0.25">
      <c r="A39" s="487"/>
      <c r="B39" s="482"/>
      <c r="C39" s="488"/>
      <c r="D39" s="475"/>
      <c r="E39" s="476"/>
      <c r="F39" s="484">
        <v>0</v>
      </c>
      <c r="G39" s="485">
        <f>F39*C4</f>
        <v>0</v>
      </c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80"/>
      <c r="X39" s="480"/>
      <c r="Y39" s="473"/>
      <c r="Z39" s="473"/>
    </row>
    <row r="40" spans="1:26" s="478" customFormat="1" hidden="1" x14ac:dyDescent="0.25">
      <c r="A40" s="487"/>
      <c r="B40" s="482"/>
      <c r="C40" s="488"/>
      <c r="D40" s="475"/>
      <c r="E40" s="476"/>
      <c r="F40" s="484">
        <v>0</v>
      </c>
      <c r="G40" s="485">
        <f>F40*C4</f>
        <v>0</v>
      </c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73"/>
      <c r="Z40" s="473"/>
    </row>
    <row r="41" spans="1:26" s="478" customFormat="1" hidden="1" x14ac:dyDescent="0.25">
      <c r="A41" s="487"/>
      <c r="B41" s="482"/>
      <c r="C41" s="488"/>
      <c r="D41" s="475"/>
      <c r="E41" s="476"/>
      <c r="F41" s="484">
        <v>0</v>
      </c>
      <c r="G41" s="485">
        <f>F41*C4</f>
        <v>0</v>
      </c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0"/>
      <c r="U41" s="480"/>
      <c r="V41" s="480"/>
      <c r="W41" s="480"/>
      <c r="X41" s="480"/>
      <c r="Y41" s="473"/>
      <c r="Z41" s="473"/>
    </row>
    <row r="42" spans="1:26" s="478" customFormat="1" hidden="1" x14ac:dyDescent="0.25">
      <c r="A42" s="472"/>
      <c r="B42" s="479" t="s">
        <v>173</v>
      </c>
      <c r="C42" s="474"/>
      <c r="D42" s="475"/>
      <c r="E42" s="476"/>
      <c r="F42" s="485">
        <f>SUM(F32:F41)</f>
        <v>0</v>
      </c>
      <c r="G42" s="485">
        <f>SUM(G32:G41)</f>
        <v>0</v>
      </c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73"/>
      <c r="Z42" s="473"/>
    </row>
    <row r="43" spans="1:26" s="478" customFormat="1" hidden="1" x14ac:dyDescent="0.25">
      <c r="A43" s="472"/>
      <c r="B43" s="472" t="s">
        <v>64</v>
      </c>
      <c r="C43" s="474"/>
      <c r="D43" s="475"/>
      <c r="E43" s="476"/>
      <c r="F43" s="484">
        <v>0</v>
      </c>
      <c r="G43" s="485">
        <f>F43*C4</f>
        <v>0</v>
      </c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73"/>
      <c r="Z43" s="473"/>
    </row>
    <row r="44" spans="1:26" s="478" customFormat="1" hidden="1" x14ac:dyDescent="0.25">
      <c r="A44" s="472"/>
      <c r="B44" s="473"/>
      <c r="C44" s="474"/>
      <c r="D44" s="475"/>
      <c r="E44" s="476"/>
      <c r="F44" s="485"/>
      <c r="G44" s="485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480"/>
      <c r="T44" s="480"/>
      <c r="U44" s="480"/>
      <c r="V44" s="480"/>
      <c r="W44" s="480"/>
      <c r="X44" s="480"/>
      <c r="Y44" s="473"/>
      <c r="Z44" s="473"/>
    </row>
    <row r="45" spans="1:26" s="478" customFormat="1" hidden="1" x14ac:dyDescent="0.25">
      <c r="A45" s="472" t="s">
        <v>35</v>
      </c>
      <c r="B45" s="473"/>
      <c r="C45" s="474"/>
      <c r="D45" s="475"/>
      <c r="E45" s="476"/>
      <c r="F45" s="477"/>
      <c r="G45" s="485"/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0"/>
      <c r="S45" s="480"/>
      <c r="T45" s="480"/>
      <c r="U45" s="480"/>
      <c r="V45" s="480"/>
      <c r="W45" s="480"/>
      <c r="X45" s="480"/>
      <c r="Y45" s="473"/>
      <c r="Z45" s="473"/>
    </row>
    <row r="46" spans="1:26" s="478" customFormat="1" hidden="1" x14ac:dyDescent="0.25">
      <c r="A46" s="472" t="s">
        <v>32</v>
      </c>
      <c r="B46" s="479" t="s">
        <v>33</v>
      </c>
      <c r="C46" s="474" t="s">
        <v>174</v>
      </c>
      <c r="D46" s="475"/>
      <c r="E46" s="476"/>
      <c r="F46" s="477"/>
      <c r="G46" s="485"/>
      <c r="H46" s="480"/>
      <c r="I46" s="480"/>
      <c r="J46" s="480"/>
      <c r="K46" s="480"/>
      <c r="L46" s="480"/>
      <c r="M46" s="480"/>
      <c r="N46" s="480"/>
      <c r="O46" s="480"/>
      <c r="P46" s="480"/>
      <c r="Q46" s="480"/>
      <c r="R46" s="480"/>
      <c r="S46" s="480"/>
      <c r="T46" s="480"/>
      <c r="U46" s="480"/>
      <c r="V46" s="480"/>
      <c r="W46" s="480"/>
      <c r="X46" s="480"/>
      <c r="Y46" s="473"/>
      <c r="Z46" s="473"/>
    </row>
    <row r="47" spans="1:26" s="478" customFormat="1" hidden="1" x14ac:dyDescent="0.25">
      <c r="A47" s="487"/>
      <c r="B47" s="482"/>
      <c r="C47" s="488"/>
      <c r="D47" s="475"/>
      <c r="E47" s="476"/>
      <c r="F47" s="484">
        <v>0</v>
      </c>
      <c r="G47" s="485">
        <f>F47*C4</f>
        <v>0</v>
      </c>
      <c r="H47" s="480"/>
      <c r="I47" s="480"/>
      <c r="J47" s="480"/>
      <c r="K47" s="480"/>
      <c r="L47" s="480"/>
      <c r="M47" s="480"/>
      <c r="N47" s="480"/>
      <c r="O47" s="480"/>
      <c r="P47" s="480"/>
      <c r="Q47" s="480"/>
      <c r="R47" s="480"/>
      <c r="S47" s="480"/>
      <c r="T47" s="480"/>
      <c r="U47" s="480"/>
      <c r="V47" s="480"/>
      <c r="W47" s="480"/>
      <c r="X47" s="480"/>
      <c r="Y47" s="473"/>
      <c r="Z47" s="473"/>
    </row>
    <row r="48" spans="1:26" s="478" customFormat="1" hidden="1" x14ac:dyDescent="0.25">
      <c r="A48" s="487"/>
      <c r="B48" s="482"/>
      <c r="C48" s="488"/>
      <c r="D48" s="475"/>
      <c r="E48" s="476"/>
      <c r="F48" s="484">
        <v>0</v>
      </c>
      <c r="G48" s="485">
        <f>F48*C4</f>
        <v>0</v>
      </c>
      <c r="H48" s="480"/>
      <c r="I48" s="480"/>
      <c r="J48" s="480"/>
      <c r="K48" s="480"/>
      <c r="L48" s="480"/>
      <c r="M48" s="480"/>
      <c r="N48" s="480"/>
      <c r="O48" s="480"/>
      <c r="P48" s="480"/>
      <c r="Q48" s="480"/>
      <c r="R48" s="480"/>
      <c r="S48" s="480"/>
      <c r="T48" s="480"/>
      <c r="U48" s="480"/>
      <c r="V48" s="480"/>
      <c r="W48" s="480"/>
      <c r="X48" s="480"/>
      <c r="Y48" s="473"/>
      <c r="Z48" s="473"/>
    </row>
    <row r="49" spans="1:26" s="478" customFormat="1" hidden="1" x14ac:dyDescent="0.25">
      <c r="A49" s="487"/>
      <c r="B49" s="482"/>
      <c r="C49" s="488"/>
      <c r="D49" s="475"/>
      <c r="E49" s="476"/>
      <c r="F49" s="484">
        <v>0</v>
      </c>
      <c r="G49" s="485">
        <f>F49*C4</f>
        <v>0</v>
      </c>
      <c r="H49" s="480"/>
      <c r="I49" s="480"/>
      <c r="J49" s="480"/>
      <c r="K49" s="480"/>
      <c r="L49" s="480"/>
      <c r="M49" s="480"/>
      <c r="N49" s="480"/>
      <c r="O49" s="480"/>
      <c r="P49" s="480"/>
      <c r="Q49" s="480"/>
      <c r="R49" s="480"/>
      <c r="S49" s="480"/>
      <c r="T49" s="480"/>
      <c r="U49" s="480"/>
      <c r="V49" s="480"/>
      <c r="W49" s="480"/>
      <c r="X49" s="480"/>
      <c r="Y49" s="473"/>
      <c r="Z49" s="473"/>
    </row>
    <row r="50" spans="1:26" s="478" customFormat="1" hidden="1" x14ac:dyDescent="0.25">
      <c r="A50" s="487"/>
      <c r="B50" s="482"/>
      <c r="C50" s="488"/>
      <c r="D50" s="475"/>
      <c r="E50" s="476"/>
      <c r="F50" s="484">
        <v>0</v>
      </c>
      <c r="G50" s="485">
        <f>F50*C4</f>
        <v>0</v>
      </c>
      <c r="H50" s="480"/>
      <c r="I50" s="480"/>
      <c r="J50" s="480"/>
      <c r="K50" s="480"/>
      <c r="L50" s="480"/>
      <c r="M50" s="480"/>
      <c r="N50" s="480"/>
      <c r="O50" s="480"/>
      <c r="P50" s="480"/>
      <c r="Q50" s="480"/>
      <c r="R50" s="480"/>
      <c r="S50" s="480"/>
      <c r="T50" s="480"/>
      <c r="U50" s="480"/>
      <c r="V50" s="480"/>
      <c r="W50" s="480"/>
      <c r="X50" s="480"/>
      <c r="Y50" s="473"/>
      <c r="Z50" s="473"/>
    </row>
    <row r="51" spans="1:26" s="478" customFormat="1" hidden="1" x14ac:dyDescent="0.25">
      <c r="A51" s="487"/>
      <c r="B51" s="482"/>
      <c r="C51" s="488"/>
      <c r="D51" s="475"/>
      <c r="E51" s="476"/>
      <c r="F51" s="484">
        <v>0</v>
      </c>
      <c r="G51" s="485">
        <f>F51*C4</f>
        <v>0</v>
      </c>
      <c r="H51" s="480"/>
      <c r="I51" s="480"/>
      <c r="J51" s="480"/>
      <c r="K51" s="480"/>
      <c r="L51" s="480"/>
      <c r="M51" s="480"/>
      <c r="N51" s="480"/>
      <c r="O51" s="480"/>
      <c r="P51" s="480"/>
      <c r="Q51" s="480"/>
      <c r="R51" s="480"/>
      <c r="S51" s="480"/>
      <c r="T51" s="480"/>
      <c r="U51" s="480"/>
      <c r="V51" s="480"/>
      <c r="W51" s="480"/>
      <c r="X51" s="480"/>
      <c r="Y51" s="473"/>
      <c r="Z51" s="473"/>
    </row>
    <row r="52" spans="1:26" s="478" customFormat="1" hidden="1" x14ac:dyDescent="0.25">
      <c r="A52" s="487"/>
      <c r="B52" s="482"/>
      <c r="C52" s="488"/>
      <c r="D52" s="475"/>
      <c r="E52" s="476"/>
      <c r="F52" s="484">
        <v>0</v>
      </c>
      <c r="G52" s="485">
        <f>F52*C4</f>
        <v>0</v>
      </c>
      <c r="H52" s="480"/>
      <c r="I52" s="480"/>
      <c r="J52" s="480"/>
      <c r="K52" s="480"/>
      <c r="L52" s="480"/>
      <c r="M52" s="480"/>
      <c r="N52" s="480"/>
      <c r="O52" s="480"/>
      <c r="P52" s="480"/>
      <c r="Q52" s="480"/>
      <c r="R52" s="480"/>
      <c r="S52" s="480"/>
      <c r="T52" s="480"/>
      <c r="U52" s="480"/>
      <c r="V52" s="480"/>
      <c r="W52" s="480"/>
      <c r="X52" s="480"/>
      <c r="Y52" s="473"/>
      <c r="Z52" s="473"/>
    </row>
    <row r="53" spans="1:26" s="478" customFormat="1" hidden="1" x14ac:dyDescent="0.25">
      <c r="A53" s="487"/>
      <c r="B53" s="482"/>
      <c r="C53" s="488"/>
      <c r="D53" s="475"/>
      <c r="E53" s="476"/>
      <c r="F53" s="484">
        <v>0</v>
      </c>
      <c r="G53" s="485">
        <f>F53*C4</f>
        <v>0</v>
      </c>
      <c r="H53" s="480"/>
      <c r="I53" s="480"/>
      <c r="J53" s="480"/>
      <c r="K53" s="480"/>
      <c r="L53" s="480"/>
      <c r="M53" s="480"/>
      <c r="N53" s="480"/>
      <c r="O53" s="480"/>
      <c r="P53" s="480"/>
      <c r="Q53" s="480"/>
      <c r="R53" s="480"/>
      <c r="S53" s="480"/>
      <c r="T53" s="480"/>
      <c r="U53" s="480"/>
      <c r="V53" s="480"/>
      <c r="W53" s="480"/>
      <c r="X53" s="480"/>
      <c r="Y53" s="473"/>
      <c r="Z53" s="473"/>
    </row>
    <row r="54" spans="1:26" s="478" customFormat="1" hidden="1" x14ac:dyDescent="0.25">
      <c r="A54" s="487"/>
      <c r="B54" s="482"/>
      <c r="C54" s="488"/>
      <c r="D54" s="475"/>
      <c r="E54" s="476"/>
      <c r="F54" s="484">
        <v>0</v>
      </c>
      <c r="G54" s="485">
        <f>F54*C4</f>
        <v>0</v>
      </c>
      <c r="H54" s="480"/>
      <c r="I54" s="480"/>
      <c r="J54" s="480"/>
      <c r="K54" s="480"/>
      <c r="L54" s="480"/>
      <c r="M54" s="480"/>
      <c r="N54" s="480"/>
      <c r="O54" s="480"/>
      <c r="P54" s="480"/>
      <c r="Q54" s="480"/>
      <c r="R54" s="480"/>
      <c r="S54" s="480"/>
      <c r="T54" s="480"/>
      <c r="U54" s="480"/>
      <c r="V54" s="480"/>
      <c r="W54" s="480"/>
      <c r="X54" s="480"/>
      <c r="Y54" s="473"/>
      <c r="Z54" s="473"/>
    </row>
    <row r="55" spans="1:26" s="478" customFormat="1" hidden="1" x14ac:dyDescent="0.25">
      <c r="A55" s="487"/>
      <c r="B55" s="482"/>
      <c r="C55" s="488"/>
      <c r="D55" s="475"/>
      <c r="E55" s="476"/>
      <c r="F55" s="484">
        <v>0</v>
      </c>
      <c r="G55" s="485">
        <f>F55*C4</f>
        <v>0</v>
      </c>
      <c r="H55" s="480"/>
      <c r="I55" s="480"/>
      <c r="J55" s="480"/>
      <c r="K55" s="480"/>
      <c r="L55" s="480"/>
      <c r="M55" s="480"/>
      <c r="N55" s="480"/>
      <c r="O55" s="480"/>
      <c r="P55" s="480"/>
      <c r="Q55" s="480"/>
      <c r="R55" s="480"/>
      <c r="S55" s="480"/>
      <c r="T55" s="480"/>
      <c r="U55" s="480"/>
      <c r="V55" s="480"/>
      <c r="W55" s="480"/>
      <c r="X55" s="480"/>
      <c r="Y55" s="473"/>
      <c r="Z55" s="473"/>
    </row>
    <row r="56" spans="1:26" s="478" customFormat="1" hidden="1" x14ac:dyDescent="0.25">
      <c r="A56" s="487"/>
      <c r="B56" s="482"/>
      <c r="C56" s="488"/>
      <c r="D56" s="475"/>
      <c r="E56" s="476"/>
      <c r="F56" s="484">
        <v>0</v>
      </c>
      <c r="G56" s="485">
        <f>F56*C4</f>
        <v>0</v>
      </c>
      <c r="H56" s="480"/>
      <c r="I56" s="480"/>
      <c r="J56" s="480"/>
      <c r="K56" s="480"/>
      <c r="L56" s="480"/>
      <c r="M56" s="480"/>
      <c r="N56" s="480"/>
      <c r="O56" s="480"/>
      <c r="P56" s="480"/>
      <c r="Q56" s="480"/>
      <c r="R56" s="480"/>
      <c r="S56" s="480"/>
      <c r="T56" s="480"/>
      <c r="U56" s="480"/>
      <c r="V56" s="480"/>
      <c r="W56" s="480"/>
      <c r="X56" s="480"/>
      <c r="Y56" s="473"/>
      <c r="Z56" s="473"/>
    </row>
    <row r="57" spans="1:26" s="478" customFormat="1" hidden="1" x14ac:dyDescent="0.25">
      <c r="A57" s="472"/>
      <c r="B57" s="479" t="s">
        <v>173</v>
      </c>
      <c r="C57" s="474"/>
      <c r="D57" s="475"/>
      <c r="E57" s="476"/>
      <c r="F57" s="477">
        <f>SUM(F47:F56)</f>
        <v>0</v>
      </c>
      <c r="G57" s="485">
        <f>SUM(G47:G56)</f>
        <v>0</v>
      </c>
      <c r="H57" s="480"/>
      <c r="I57" s="480"/>
      <c r="J57" s="480"/>
      <c r="K57" s="480"/>
      <c r="L57" s="480"/>
      <c r="M57" s="480"/>
      <c r="N57" s="480"/>
      <c r="O57" s="480"/>
      <c r="P57" s="480"/>
      <c r="Q57" s="480"/>
      <c r="R57" s="480"/>
      <c r="S57" s="480"/>
      <c r="T57" s="480"/>
      <c r="U57" s="480"/>
      <c r="V57" s="480"/>
      <c r="W57" s="480"/>
      <c r="X57" s="480"/>
      <c r="Y57" s="473"/>
      <c r="Z57" s="473"/>
    </row>
    <row r="58" spans="1:26" s="478" customFormat="1" hidden="1" x14ac:dyDescent="0.25">
      <c r="A58" s="472"/>
      <c r="B58" s="473"/>
      <c r="C58" s="474"/>
      <c r="D58" s="475"/>
      <c r="E58" s="476"/>
      <c r="F58" s="477"/>
      <c r="G58" s="485"/>
      <c r="H58" s="480"/>
      <c r="I58" s="480"/>
      <c r="J58" s="480"/>
      <c r="K58" s="480"/>
      <c r="L58" s="480"/>
      <c r="M58" s="480"/>
      <c r="N58" s="480"/>
      <c r="O58" s="480"/>
      <c r="P58" s="480"/>
      <c r="Q58" s="480"/>
      <c r="R58" s="480"/>
      <c r="S58" s="480"/>
      <c r="T58" s="480"/>
      <c r="U58" s="480"/>
      <c r="V58" s="480"/>
      <c r="W58" s="480"/>
      <c r="X58" s="480"/>
      <c r="Y58" s="473"/>
      <c r="Z58" s="473"/>
    </row>
    <row r="59" spans="1:26" s="478" customFormat="1" hidden="1" x14ac:dyDescent="0.25">
      <c r="A59" s="472" t="s">
        <v>22</v>
      </c>
      <c r="B59" s="473"/>
      <c r="C59" s="474"/>
      <c r="D59" s="475"/>
      <c r="E59" s="476"/>
      <c r="F59" s="485"/>
      <c r="G59" s="485"/>
      <c r="H59" s="480"/>
      <c r="I59" s="480"/>
      <c r="J59" s="480"/>
      <c r="K59" s="480"/>
      <c r="L59" s="480"/>
      <c r="M59" s="480"/>
      <c r="N59" s="480"/>
      <c r="O59" s="480"/>
      <c r="P59" s="480"/>
      <c r="Q59" s="480"/>
      <c r="R59" s="480"/>
      <c r="S59" s="480"/>
      <c r="T59" s="480"/>
      <c r="U59" s="480"/>
      <c r="V59" s="480"/>
      <c r="W59" s="480"/>
      <c r="X59" s="480"/>
      <c r="Y59" s="473"/>
      <c r="Z59" s="473"/>
    </row>
    <row r="60" spans="1:26" s="478" customFormat="1" hidden="1" x14ac:dyDescent="0.25">
      <c r="A60" s="472" t="s">
        <v>32</v>
      </c>
      <c r="B60" s="479" t="s">
        <v>33</v>
      </c>
      <c r="C60" s="474" t="s">
        <v>174</v>
      </c>
      <c r="D60" s="475"/>
      <c r="E60" s="476"/>
      <c r="F60" s="477"/>
      <c r="G60" s="485"/>
      <c r="H60" s="480"/>
      <c r="I60" s="480"/>
      <c r="J60" s="480"/>
      <c r="K60" s="480"/>
      <c r="L60" s="480"/>
      <c r="M60" s="480"/>
      <c r="N60" s="480"/>
      <c r="O60" s="480"/>
      <c r="P60" s="480"/>
      <c r="Q60" s="480"/>
      <c r="R60" s="480"/>
      <c r="S60" s="480"/>
      <c r="T60" s="480"/>
      <c r="U60" s="480"/>
      <c r="V60" s="480"/>
      <c r="W60" s="480"/>
      <c r="X60" s="480"/>
      <c r="Y60" s="473"/>
      <c r="Z60" s="473"/>
    </row>
    <row r="61" spans="1:26" s="478" customFormat="1" hidden="1" x14ac:dyDescent="0.25">
      <c r="A61" s="487"/>
      <c r="B61" s="482"/>
      <c r="C61" s="488"/>
      <c r="D61" s="475"/>
      <c r="E61" s="476"/>
      <c r="F61" s="484">
        <v>0</v>
      </c>
      <c r="G61" s="485">
        <f>F61*C4</f>
        <v>0</v>
      </c>
      <c r="H61" s="480"/>
      <c r="I61" s="480"/>
      <c r="J61" s="480"/>
      <c r="K61" s="480"/>
      <c r="L61" s="480"/>
      <c r="M61" s="480"/>
      <c r="N61" s="480"/>
      <c r="O61" s="480"/>
      <c r="P61" s="480"/>
      <c r="Q61" s="480"/>
      <c r="R61" s="480"/>
      <c r="S61" s="480"/>
      <c r="T61" s="480"/>
      <c r="U61" s="480"/>
      <c r="V61" s="480"/>
      <c r="W61" s="480"/>
      <c r="X61" s="480"/>
      <c r="Y61" s="473"/>
      <c r="Z61" s="473"/>
    </row>
    <row r="62" spans="1:26" s="478" customFormat="1" hidden="1" x14ac:dyDescent="0.25">
      <c r="A62" s="487"/>
      <c r="B62" s="482"/>
      <c r="C62" s="488"/>
      <c r="D62" s="475"/>
      <c r="E62" s="476"/>
      <c r="F62" s="484">
        <v>0</v>
      </c>
      <c r="G62" s="485">
        <f>F62*C4</f>
        <v>0</v>
      </c>
      <c r="H62" s="480"/>
      <c r="I62" s="480"/>
      <c r="J62" s="480"/>
      <c r="K62" s="480"/>
      <c r="L62" s="480"/>
      <c r="M62" s="480"/>
      <c r="N62" s="480"/>
      <c r="O62" s="480"/>
      <c r="P62" s="480"/>
      <c r="Q62" s="480"/>
      <c r="R62" s="480"/>
      <c r="S62" s="480"/>
      <c r="T62" s="480"/>
      <c r="U62" s="480"/>
      <c r="V62" s="480"/>
      <c r="W62" s="480"/>
      <c r="X62" s="480"/>
      <c r="Y62" s="473"/>
      <c r="Z62" s="473"/>
    </row>
    <row r="63" spans="1:26" s="478" customFormat="1" hidden="1" x14ac:dyDescent="0.25">
      <c r="A63" s="487"/>
      <c r="B63" s="482"/>
      <c r="C63" s="488"/>
      <c r="D63" s="475"/>
      <c r="E63" s="476"/>
      <c r="F63" s="484">
        <v>0</v>
      </c>
      <c r="G63" s="485">
        <f>F63*C4</f>
        <v>0</v>
      </c>
      <c r="H63" s="480"/>
      <c r="I63" s="480"/>
      <c r="J63" s="480"/>
      <c r="K63" s="480"/>
      <c r="L63" s="480"/>
      <c r="M63" s="480"/>
      <c r="N63" s="480"/>
      <c r="O63" s="480"/>
      <c r="P63" s="480"/>
      <c r="Q63" s="480"/>
      <c r="R63" s="480"/>
      <c r="S63" s="480"/>
      <c r="T63" s="480"/>
      <c r="U63" s="480"/>
      <c r="V63" s="480"/>
      <c r="W63" s="480"/>
      <c r="X63" s="480"/>
      <c r="Y63" s="473"/>
      <c r="Z63" s="473"/>
    </row>
    <row r="64" spans="1:26" s="478" customFormat="1" hidden="1" x14ac:dyDescent="0.25">
      <c r="A64" s="487"/>
      <c r="B64" s="482"/>
      <c r="C64" s="488"/>
      <c r="D64" s="475"/>
      <c r="E64" s="476"/>
      <c r="F64" s="484">
        <v>0</v>
      </c>
      <c r="G64" s="485">
        <f>F64*C4</f>
        <v>0</v>
      </c>
      <c r="H64" s="480"/>
      <c r="I64" s="480"/>
      <c r="J64" s="480"/>
      <c r="K64" s="480"/>
      <c r="L64" s="480"/>
      <c r="M64" s="480"/>
      <c r="N64" s="480"/>
      <c r="O64" s="480"/>
      <c r="P64" s="480"/>
      <c r="Q64" s="480"/>
      <c r="R64" s="480"/>
      <c r="S64" s="480"/>
      <c r="T64" s="480"/>
      <c r="U64" s="480"/>
      <c r="V64" s="480"/>
      <c r="W64" s="480"/>
      <c r="X64" s="480"/>
      <c r="Y64" s="473"/>
      <c r="Z64" s="473"/>
    </row>
    <row r="65" spans="1:26" s="478" customFormat="1" hidden="1" x14ac:dyDescent="0.25">
      <c r="A65" s="487"/>
      <c r="B65" s="482"/>
      <c r="C65" s="488"/>
      <c r="D65" s="475"/>
      <c r="E65" s="476"/>
      <c r="F65" s="484">
        <v>0</v>
      </c>
      <c r="G65" s="485">
        <f>F65*C4</f>
        <v>0</v>
      </c>
      <c r="H65" s="480"/>
      <c r="I65" s="480"/>
      <c r="J65" s="480"/>
      <c r="K65" s="480"/>
      <c r="L65" s="480"/>
      <c r="M65" s="480"/>
      <c r="N65" s="480"/>
      <c r="O65" s="480"/>
      <c r="P65" s="480"/>
      <c r="Q65" s="480"/>
      <c r="R65" s="480"/>
      <c r="S65" s="480"/>
      <c r="T65" s="480"/>
      <c r="U65" s="480"/>
      <c r="V65" s="480"/>
      <c r="W65" s="480"/>
      <c r="X65" s="480"/>
      <c r="Y65" s="473"/>
      <c r="Z65" s="473"/>
    </row>
    <row r="66" spans="1:26" s="478" customFormat="1" hidden="1" x14ac:dyDescent="0.25">
      <c r="A66" s="487"/>
      <c r="B66" s="482"/>
      <c r="C66" s="488"/>
      <c r="D66" s="475"/>
      <c r="E66" s="476"/>
      <c r="F66" s="484">
        <v>0</v>
      </c>
      <c r="G66" s="485">
        <f>F66*C4</f>
        <v>0</v>
      </c>
      <c r="H66" s="480"/>
      <c r="I66" s="480"/>
      <c r="J66" s="480"/>
      <c r="K66" s="480"/>
      <c r="L66" s="480"/>
      <c r="M66" s="480"/>
      <c r="N66" s="480"/>
      <c r="O66" s="480"/>
      <c r="P66" s="480"/>
      <c r="Q66" s="480"/>
      <c r="R66" s="480"/>
      <c r="S66" s="480"/>
      <c r="T66" s="480"/>
      <c r="U66" s="480"/>
      <c r="V66" s="480"/>
      <c r="W66" s="480"/>
      <c r="X66" s="480"/>
      <c r="Y66" s="473"/>
      <c r="Z66" s="473"/>
    </row>
    <row r="67" spans="1:26" s="478" customFormat="1" hidden="1" x14ac:dyDescent="0.25">
      <c r="A67" s="487"/>
      <c r="B67" s="482"/>
      <c r="C67" s="488"/>
      <c r="D67" s="475"/>
      <c r="E67" s="476"/>
      <c r="F67" s="484">
        <v>0</v>
      </c>
      <c r="G67" s="485">
        <f>F67*C4</f>
        <v>0</v>
      </c>
      <c r="H67" s="480"/>
      <c r="I67" s="480"/>
      <c r="J67" s="480"/>
      <c r="K67" s="480"/>
      <c r="L67" s="480"/>
      <c r="M67" s="480"/>
      <c r="N67" s="480"/>
      <c r="O67" s="480"/>
      <c r="P67" s="480"/>
      <c r="Q67" s="480"/>
      <c r="R67" s="480"/>
      <c r="S67" s="480"/>
      <c r="T67" s="480"/>
      <c r="U67" s="480"/>
      <c r="V67" s="480"/>
      <c r="W67" s="480"/>
      <c r="X67" s="480"/>
      <c r="Y67" s="473"/>
      <c r="Z67" s="473"/>
    </row>
    <row r="68" spans="1:26" s="478" customFormat="1" hidden="1" x14ac:dyDescent="0.25">
      <c r="A68" s="487"/>
      <c r="B68" s="482"/>
      <c r="C68" s="488"/>
      <c r="D68" s="475"/>
      <c r="E68" s="476"/>
      <c r="F68" s="484">
        <v>0</v>
      </c>
      <c r="G68" s="485">
        <f>F68*C4</f>
        <v>0</v>
      </c>
      <c r="H68" s="480"/>
      <c r="I68" s="480"/>
      <c r="J68" s="480"/>
      <c r="K68" s="480"/>
      <c r="L68" s="480"/>
      <c r="M68" s="480"/>
      <c r="N68" s="480"/>
      <c r="O68" s="480"/>
      <c r="P68" s="480"/>
      <c r="Q68" s="480"/>
      <c r="R68" s="480"/>
      <c r="S68" s="480"/>
      <c r="T68" s="480"/>
      <c r="U68" s="480"/>
      <c r="V68" s="480"/>
      <c r="W68" s="480"/>
      <c r="X68" s="480"/>
      <c r="Y68" s="473"/>
      <c r="Z68" s="473"/>
    </row>
    <row r="69" spans="1:26" s="478" customFormat="1" hidden="1" x14ac:dyDescent="0.25">
      <c r="A69" s="487"/>
      <c r="B69" s="482"/>
      <c r="C69" s="488"/>
      <c r="D69" s="475"/>
      <c r="E69" s="476"/>
      <c r="F69" s="484">
        <v>0</v>
      </c>
      <c r="G69" s="485">
        <f>F69*C4</f>
        <v>0</v>
      </c>
      <c r="H69" s="480"/>
      <c r="I69" s="480"/>
      <c r="J69" s="480"/>
      <c r="K69" s="480"/>
      <c r="L69" s="480"/>
      <c r="M69" s="480"/>
      <c r="N69" s="480"/>
      <c r="O69" s="480"/>
      <c r="P69" s="480"/>
      <c r="Q69" s="480"/>
      <c r="R69" s="480"/>
      <c r="S69" s="480"/>
      <c r="T69" s="480"/>
      <c r="U69" s="480"/>
      <c r="V69" s="480"/>
      <c r="W69" s="480"/>
      <c r="X69" s="480"/>
      <c r="Y69" s="473"/>
      <c r="Z69" s="473"/>
    </row>
    <row r="70" spans="1:26" s="478" customFormat="1" hidden="1" x14ac:dyDescent="0.25">
      <c r="A70" s="487"/>
      <c r="B70" s="482"/>
      <c r="C70" s="488"/>
      <c r="D70" s="475"/>
      <c r="E70" s="476"/>
      <c r="F70" s="484">
        <v>0</v>
      </c>
      <c r="G70" s="485">
        <f>F70*C4</f>
        <v>0</v>
      </c>
      <c r="H70" s="480"/>
      <c r="I70" s="480"/>
      <c r="J70" s="480"/>
      <c r="K70" s="480"/>
      <c r="L70" s="480"/>
      <c r="M70" s="480"/>
      <c r="N70" s="480"/>
      <c r="O70" s="480"/>
      <c r="P70" s="480"/>
      <c r="Q70" s="480"/>
      <c r="R70" s="480"/>
      <c r="S70" s="480"/>
      <c r="T70" s="480"/>
      <c r="U70" s="480"/>
      <c r="V70" s="480"/>
      <c r="W70" s="480"/>
      <c r="X70" s="480"/>
      <c r="Y70" s="473"/>
      <c r="Z70" s="473"/>
    </row>
    <row r="71" spans="1:26" s="478" customFormat="1" hidden="1" x14ac:dyDescent="0.25">
      <c r="A71" s="472"/>
      <c r="B71" s="479" t="s">
        <v>173</v>
      </c>
      <c r="C71" s="474"/>
      <c r="D71" s="475"/>
      <c r="E71" s="476"/>
      <c r="F71" s="477">
        <f>SUM(F61:F70)</f>
        <v>0</v>
      </c>
      <c r="G71" s="485">
        <f>SUM(G61:G70)</f>
        <v>0</v>
      </c>
      <c r="H71" s="480"/>
      <c r="I71" s="480"/>
      <c r="J71" s="480"/>
      <c r="K71" s="480"/>
      <c r="L71" s="480"/>
      <c r="M71" s="480"/>
      <c r="N71" s="480"/>
      <c r="O71" s="480"/>
      <c r="P71" s="480"/>
      <c r="Q71" s="480"/>
      <c r="R71" s="480"/>
      <c r="S71" s="480"/>
      <c r="T71" s="480"/>
      <c r="U71" s="480"/>
      <c r="V71" s="480"/>
      <c r="W71" s="480"/>
      <c r="X71" s="480"/>
      <c r="Y71" s="473"/>
      <c r="Z71" s="473"/>
    </row>
    <row r="72" spans="1:26" s="478" customFormat="1" hidden="1" x14ac:dyDescent="0.25">
      <c r="A72" s="472"/>
      <c r="B72" s="473"/>
      <c r="C72" s="474"/>
      <c r="D72" s="475"/>
      <c r="E72" s="476"/>
      <c r="F72" s="477"/>
      <c r="G72" s="489"/>
      <c r="H72" s="473"/>
      <c r="I72" s="473"/>
      <c r="J72" s="473"/>
      <c r="K72" s="473"/>
      <c r="L72" s="473"/>
      <c r="M72" s="473"/>
      <c r="N72" s="473"/>
      <c r="O72" s="473"/>
      <c r="P72" s="473"/>
      <c r="Q72" s="473"/>
      <c r="R72" s="473"/>
      <c r="S72" s="473"/>
      <c r="T72" s="473"/>
      <c r="U72" s="473"/>
      <c r="V72" s="473"/>
      <c r="W72" s="473"/>
      <c r="X72" s="473"/>
      <c r="Y72" s="473"/>
      <c r="Z72" s="473"/>
    </row>
    <row r="73" spans="1:26" s="478" customFormat="1" ht="13.8" hidden="1" thickBot="1" x14ac:dyDescent="0.3">
      <c r="A73" s="490" t="s">
        <v>3</v>
      </c>
      <c r="B73" s="490"/>
      <c r="C73" s="491"/>
      <c r="D73" s="492"/>
      <c r="E73" s="493"/>
      <c r="F73" s="494">
        <f>SUM(F28+F42+F43+F57+F71)</f>
        <v>0</v>
      </c>
      <c r="G73" s="494">
        <f>SUM(G28+G42+G43+G57+G71)</f>
        <v>0</v>
      </c>
      <c r="H73" s="495"/>
      <c r="I73" s="495"/>
      <c r="J73" s="495"/>
      <c r="K73" s="495"/>
      <c r="L73" s="495"/>
      <c r="M73" s="495"/>
      <c r="N73" s="495"/>
      <c r="O73" s="495"/>
      <c r="P73" s="495"/>
      <c r="Q73" s="495"/>
      <c r="R73" s="495"/>
      <c r="S73" s="495"/>
      <c r="T73" s="495"/>
      <c r="U73" s="495"/>
      <c r="V73" s="495"/>
      <c r="W73" s="495"/>
      <c r="X73" s="495"/>
      <c r="Y73" s="473"/>
      <c r="Z73" s="473"/>
    </row>
    <row r="74" spans="1:26" s="478" customFormat="1" x14ac:dyDescent="0.25">
      <c r="A74" s="472"/>
      <c r="B74" s="472"/>
      <c r="C74" s="480"/>
      <c r="D74" s="496"/>
      <c r="E74" s="477"/>
      <c r="F74" s="497"/>
      <c r="G74" s="497"/>
      <c r="H74" s="498"/>
      <c r="I74" s="498"/>
      <c r="J74" s="498"/>
      <c r="K74" s="498"/>
      <c r="L74" s="498"/>
      <c r="M74" s="498"/>
      <c r="N74" s="498"/>
      <c r="O74" s="498"/>
      <c r="P74" s="498"/>
      <c r="Q74" s="498"/>
      <c r="R74" s="498"/>
      <c r="S74" s="498"/>
      <c r="T74" s="498"/>
      <c r="U74" s="498"/>
      <c r="V74" s="498"/>
      <c r="W74" s="498"/>
      <c r="X74" s="498"/>
      <c r="Y74" s="473"/>
      <c r="Z74" s="473"/>
    </row>
    <row r="75" spans="1:26" s="473" customFormat="1" ht="13.8" thickBot="1" x14ac:dyDescent="0.3">
      <c r="A75" s="442" t="s">
        <v>6</v>
      </c>
      <c r="B75" s="472"/>
      <c r="C75" s="480"/>
      <c r="D75" s="499"/>
      <c r="E75" s="485"/>
      <c r="F75" s="477"/>
      <c r="G75" s="489"/>
    </row>
    <row r="76" spans="1:26" ht="13.8" thickBot="1" x14ac:dyDescent="0.3">
      <c r="A76" s="441"/>
      <c r="B76" s="442" t="s">
        <v>306</v>
      </c>
      <c r="C76" s="453" t="s">
        <v>30</v>
      </c>
      <c r="D76" s="454" t="s">
        <v>31</v>
      </c>
      <c r="E76" s="438" t="s">
        <v>0</v>
      </c>
      <c r="F76" s="455" t="s">
        <v>69</v>
      </c>
      <c r="G76" s="455" t="s">
        <v>69</v>
      </c>
      <c r="H76" s="867" t="s">
        <v>185</v>
      </c>
      <c r="I76" s="868"/>
      <c r="J76" s="868"/>
      <c r="K76" s="868"/>
      <c r="L76" s="868"/>
      <c r="M76" s="868"/>
      <c r="N76" s="868"/>
      <c r="O76" s="868"/>
      <c r="P76" s="868"/>
      <c r="Q76" s="869"/>
      <c r="R76" s="455" t="s">
        <v>302</v>
      </c>
      <c r="S76" s="455" t="s">
        <v>303</v>
      </c>
      <c r="T76" s="455" t="s">
        <v>303</v>
      </c>
      <c r="U76" s="455" t="s">
        <v>302</v>
      </c>
      <c r="V76" s="455" t="s">
        <v>303</v>
      </c>
      <c r="W76" s="459" t="s">
        <v>303</v>
      </c>
      <c r="X76" s="459" t="s">
        <v>305</v>
      </c>
    </row>
    <row r="77" spans="1:26" ht="13.8" thickBot="1" x14ac:dyDescent="0.3">
      <c r="A77" s="441"/>
      <c r="B77" s="442"/>
      <c r="C77" s="453"/>
      <c r="D77" s="454"/>
      <c r="E77" s="438"/>
      <c r="F77" s="455" t="s">
        <v>5</v>
      </c>
      <c r="G77" s="455" t="s">
        <v>5</v>
      </c>
      <c r="H77" s="500" t="s">
        <v>175</v>
      </c>
      <c r="I77" s="500" t="s">
        <v>176</v>
      </c>
      <c r="J77" s="500" t="s">
        <v>177</v>
      </c>
      <c r="K77" s="500" t="s">
        <v>178</v>
      </c>
      <c r="L77" s="500" t="s">
        <v>179</v>
      </c>
      <c r="M77" s="500" t="s">
        <v>180</v>
      </c>
      <c r="N77" s="500" t="s">
        <v>181</v>
      </c>
      <c r="O77" s="500" t="s">
        <v>182</v>
      </c>
      <c r="P77" s="500" t="s">
        <v>183</v>
      </c>
      <c r="Q77" s="500" t="s">
        <v>184</v>
      </c>
      <c r="R77" s="458"/>
      <c r="S77" s="455"/>
      <c r="T77" s="455"/>
      <c r="U77" s="455"/>
      <c r="V77" s="455"/>
      <c r="W77" s="456"/>
      <c r="X77" s="456"/>
    </row>
    <row r="78" spans="1:26" x14ac:dyDescent="0.25">
      <c r="B78" s="442"/>
      <c r="C78" s="453" t="s">
        <v>1</v>
      </c>
      <c r="D78" s="454" t="s">
        <v>2</v>
      </c>
      <c r="E78" s="458" t="s">
        <v>20</v>
      </c>
      <c r="F78" s="458" t="s">
        <v>20</v>
      </c>
      <c r="G78" s="501" t="s">
        <v>4</v>
      </c>
      <c r="H78" s="502"/>
      <c r="I78" s="502"/>
      <c r="J78" s="502"/>
      <c r="K78" s="502"/>
      <c r="L78" s="502"/>
      <c r="M78" s="502"/>
      <c r="N78" s="502"/>
      <c r="O78" s="502"/>
      <c r="P78" s="502"/>
      <c r="Q78" s="502"/>
      <c r="R78" s="458" t="s">
        <v>20</v>
      </c>
      <c r="S78" s="458" t="s">
        <v>20</v>
      </c>
      <c r="T78" s="503" t="s">
        <v>304</v>
      </c>
      <c r="U78" s="503" t="s">
        <v>4</v>
      </c>
      <c r="V78" s="503" t="s">
        <v>4</v>
      </c>
      <c r="W78" s="459" t="s">
        <v>304</v>
      </c>
      <c r="X78" s="459"/>
    </row>
    <row r="79" spans="1:26" x14ac:dyDescent="0.25">
      <c r="A79" s="442" t="s">
        <v>83</v>
      </c>
      <c r="B79" s="442"/>
      <c r="C79" s="453"/>
      <c r="D79" s="454"/>
      <c r="E79" s="458"/>
      <c r="F79" s="458"/>
      <c r="G79" s="501"/>
      <c r="H79" s="502"/>
      <c r="I79" s="502"/>
      <c r="J79" s="502"/>
      <c r="K79" s="502"/>
      <c r="L79" s="502"/>
      <c r="M79" s="502"/>
      <c r="N79" s="502"/>
      <c r="O79" s="502"/>
      <c r="P79" s="502"/>
      <c r="Q79" s="502"/>
      <c r="R79" s="504"/>
      <c r="S79" s="504"/>
      <c r="T79" s="504"/>
      <c r="U79" s="504"/>
      <c r="V79" s="504"/>
      <c r="W79" s="504"/>
      <c r="X79" s="504"/>
    </row>
    <row r="80" spans="1:26" x14ac:dyDescent="0.25">
      <c r="A80" s="505">
        <v>1</v>
      </c>
      <c r="B80" s="506" t="s">
        <v>84</v>
      </c>
      <c r="C80" s="507"/>
      <c r="D80" s="508"/>
      <c r="E80" s="509"/>
      <c r="F80" s="510"/>
      <c r="G80" s="511"/>
      <c r="H80" s="512"/>
      <c r="I80" s="512"/>
      <c r="J80" s="512"/>
      <c r="K80" s="512"/>
      <c r="L80" s="512"/>
      <c r="M80" s="512"/>
      <c r="N80" s="512"/>
      <c r="O80" s="512"/>
      <c r="P80" s="512"/>
      <c r="Q80" s="512"/>
      <c r="R80" s="513"/>
      <c r="S80" s="513"/>
      <c r="T80" s="513"/>
      <c r="U80" s="513"/>
      <c r="V80" s="513"/>
      <c r="W80" s="513"/>
      <c r="X80" s="513"/>
    </row>
    <row r="81" spans="1:25" x14ac:dyDescent="0.25">
      <c r="A81" s="514">
        <v>1.1000000000000001</v>
      </c>
      <c r="B81" s="486" t="s">
        <v>87</v>
      </c>
      <c r="C81" s="515"/>
      <c r="D81" s="516"/>
      <c r="E81" s="517"/>
      <c r="F81" s="518">
        <v>0</v>
      </c>
      <c r="G81" s="519">
        <f>F81*C4</f>
        <v>0</v>
      </c>
      <c r="H81" s="520"/>
      <c r="I81" s="520"/>
      <c r="J81" s="520"/>
      <c r="K81" s="520"/>
      <c r="L81" s="520"/>
      <c r="M81" s="520"/>
      <c r="N81" s="520"/>
      <c r="O81" s="520"/>
      <c r="P81" s="520"/>
      <c r="Q81" s="521"/>
      <c r="R81" s="522"/>
      <c r="S81" s="523">
        <f>R81-F81</f>
        <v>0</v>
      </c>
      <c r="T81" s="524">
        <f>IF(F81=0,0,S81/F81)</f>
        <v>0</v>
      </c>
      <c r="U81" s="523">
        <f>R81*$C$4</f>
        <v>0</v>
      </c>
      <c r="V81" s="523">
        <f>U81-G81</f>
        <v>0</v>
      </c>
      <c r="W81" s="524">
        <f>IF(G81=0,0,V81/G81)</f>
        <v>0</v>
      </c>
      <c r="X81" s="524"/>
    </row>
    <row r="82" spans="1:25" x14ac:dyDescent="0.25">
      <c r="A82" s="472" t="s">
        <v>110</v>
      </c>
      <c r="B82" s="486"/>
      <c r="C82" s="525"/>
      <c r="D82" s="496"/>
      <c r="E82" s="477"/>
      <c r="F82" s="477"/>
      <c r="G82" s="519"/>
      <c r="H82" s="512"/>
      <c r="I82" s="512"/>
      <c r="J82" s="512"/>
      <c r="K82" s="512"/>
      <c r="L82" s="512"/>
      <c r="M82" s="512"/>
      <c r="N82" s="512"/>
      <c r="O82" s="512"/>
      <c r="P82" s="512"/>
      <c r="Q82" s="526"/>
      <c r="R82" s="527"/>
      <c r="S82" s="523"/>
      <c r="T82" s="524"/>
      <c r="U82" s="523"/>
      <c r="V82" s="523"/>
      <c r="W82" s="524"/>
      <c r="X82" s="524"/>
    </row>
    <row r="83" spans="1:25" hidden="1" x14ac:dyDescent="0.25">
      <c r="A83" s="528" t="s">
        <v>86</v>
      </c>
      <c r="B83" s="529"/>
      <c r="C83" s="515"/>
      <c r="D83" s="516"/>
      <c r="E83" s="517"/>
      <c r="F83" s="530">
        <f>D83*E83</f>
        <v>0</v>
      </c>
      <c r="G83" s="519">
        <f>F83*C4</f>
        <v>0</v>
      </c>
      <c r="H83" s="512"/>
      <c r="I83" s="512"/>
      <c r="J83" s="512"/>
      <c r="K83" s="512"/>
      <c r="L83" s="512"/>
      <c r="M83" s="512"/>
      <c r="N83" s="512"/>
      <c r="O83" s="512"/>
      <c r="P83" s="512"/>
      <c r="Q83" s="526"/>
      <c r="R83" s="531"/>
      <c r="S83" s="523">
        <f>R83-F83</f>
        <v>0</v>
      </c>
      <c r="T83" s="524">
        <f>IF(F83=0,0,S83/F83)</f>
        <v>0</v>
      </c>
      <c r="U83" s="523">
        <f>R83*$C$4</f>
        <v>0</v>
      </c>
      <c r="V83" s="523">
        <f>U83-G83</f>
        <v>0</v>
      </c>
      <c r="W83" s="524">
        <f>IF(G83=0,0,V83/G83)</f>
        <v>0</v>
      </c>
      <c r="X83" s="524"/>
    </row>
    <row r="84" spans="1:25" hidden="1" x14ac:dyDescent="0.25">
      <c r="A84" s="532" t="s">
        <v>89</v>
      </c>
      <c r="B84" s="529"/>
      <c r="C84" s="515"/>
      <c r="D84" s="516"/>
      <c r="E84" s="517"/>
      <c r="F84" s="530">
        <f>D84*E84</f>
        <v>0</v>
      </c>
      <c r="G84" s="519">
        <f>F84*C4</f>
        <v>0</v>
      </c>
      <c r="H84" s="512"/>
      <c r="I84" s="512"/>
      <c r="J84" s="512"/>
      <c r="K84" s="512"/>
      <c r="L84" s="512"/>
      <c r="M84" s="512"/>
      <c r="N84" s="512"/>
      <c r="O84" s="512"/>
      <c r="P84" s="512"/>
      <c r="Q84" s="526"/>
      <c r="R84" s="531"/>
      <c r="S84" s="523">
        <f>R84-F84</f>
        <v>0</v>
      </c>
      <c r="T84" s="524">
        <f>IF(F84=0,0,S84/F84)</f>
        <v>0</v>
      </c>
      <c r="U84" s="523">
        <f>R84*$C$4</f>
        <v>0</v>
      </c>
      <c r="V84" s="523">
        <f>U84-G84</f>
        <v>0</v>
      </c>
      <c r="W84" s="524">
        <f>IF(G84=0,0,V84/G84)</f>
        <v>0</v>
      </c>
      <c r="X84" s="524"/>
    </row>
    <row r="85" spans="1:25" hidden="1" x14ac:dyDescent="0.25">
      <c r="A85" s="532" t="s">
        <v>90</v>
      </c>
      <c r="B85" s="529"/>
      <c r="C85" s="515"/>
      <c r="D85" s="516"/>
      <c r="E85" s="517"/>
      <c r="F85" s="530">
        <f>D85*E85</f>
        <v>0</v>
      </c>
      <c r="G85" s="519">
        <f>F85*C4</f>
        <v>0</v>
      </c>
      <c r="H85" s="512"/>
      <c r="I85" s="512"/>
      <c r="J85" s="512"/>
      <c r="K85" s="512"/>
      <c r="L85" s="512"/>
      <c r="M85" s="512"/>
      <c r="N85" s="512"/>
      <c r="O85" s="512"/>
      <c r="P85" s="512"/>
      <c r="Q85" s="526"/>
      <c r="R85" s="531"/>
      <c r="S85" s="523">
        <f>R85-F85</f>
        <v>0</v>
      </c>
      <c r="T85" s="524">
        <f>IF(F85=0,0,S85/F85)</f>
        <v>0</v>
      </c>
      <c r="U85" s="523">
        <f>R85*$C$4</f>
        <v>0</v>
      </c>
      <c r="V85" s="523">
        <f>U85-G85</f>
        <v>0</v>
      </c>
      <c r="W85" s="524">
        <f>IF(G85=0,0,V85/G85)</f>
        <v>0</v>
      </c>
      <c r="X85" s="524"/>
    </row>
    <row r="86" spans="1:25" hidden="1" x14ac:dyDescent="0.25">
      <c r="A86" s="533"/>
      <c r="B86" s="534"/>
      <c r="C86" s="535"/>
      <c r="D86" s="536"/>
      <c r="E86" s="537"/>
      <c r="F86" s="530"/>
      <c r="G86" s="538"/>
      <c r="H86" s="512"/>
      <c r="I86" s="512"/>
      <c r="J86" s="512"/>
      <c r="K86" s="512"/>
      <c r="L86" s="512"/>
      <c r="M86" s="512"/>
      <c r="N86" s="512"/>
      <c r="O86" s="512"/>
      <c r="P86" s="512"/>
      <c r="Q86" s="526"/>
      <c r="R86" s="539"/>
      <c r="S86" s="523"/>
      <c r="T86" s="524"/>
      <c r="U86" s="523"/>
      <c r="V86" s="523"/>
      <c r="W86" s="524"/>
      <c r="X86" s="524"/>
    </row>
    <row r="87" spans="1:25" x14ac:dyDescent="0.25">
      <c r="A87" s="472" t="s">
        <v>111</v>
      </c>
      <c r="C87" s="480"/>
      <c r="D87" s="499"/>
      <c r="E87" s="485"/>
      <c r="F87" s="530"/>
      <c r="G87" s="538"/>
      <c r="H87" s="512"/>
      <c r="I87" s="512"/>
      <c r="J87" s="512"/>
      <c r="K87" s="512"/>
      <c r="L87" s="512"/>
      <c r="M87" s="512"/>
      <c r="N87" s="512"/>
      <c r="O87" s="512"/>
      <c r="P87" s="512"/>
      <c r="Q87" s="526"/>
      <c r="R87" s="539"/>
      <c r="S87" s="523"/>
      <c r="T87" s="524"/>
      <c r="U87" s="523"/>
      <c r="V87" s="523"/>
      <c r="W87" s="524"/>
      <c r="X87" s="524"/>
    </row>
    <row r="88" spans="1:25" x14ac:dyDescent="0.25">
      <c r="A88" s="448" t="s">
        <v>634</v>
      </c>
      <c r="B88" s="529" t="s">
        <v>635</v>
      </c>
      <c r="C88" s="515" t="s">
        <v>432</v>
      </c>
      <c r="D88" s="516">
        <v>12</v>
      </c>
      <c r="E88" s="517">
        <f>(5000/0.00465)*0.05</f>
        <v>53763.440860215065</v>
      </c>
      <c r="F88" s="778">
        <v>645161</v>
      </c>
      <c r="G88" s="778">
        <v>3000</v>
      </c>
      <c r="H88" s="512"/>
      <c r="I88" s="512"/>
      <c r="J88" s="512"/>
      <c r="K88" s="512"/>
      <c r="L88" s="512"/>
      <c r="M88" s="512"/>
      <c r="N88" s="512"/>
      <c r="O88" s="512"/>
      <c r="P88" s="512"/>
      <c r="Q88" s="526"/>
      <c r="R88" s="531"/>
      <c r="S88" s="523">
        <f>R88-F88</f>
        <v>-645161</v>
      </c>
      <c r="T88" s="524">
        <f>IF(F88=0,0,S88/F88)</f>
        <v>-1</v>
      </c>
      <c r="U88" s="523">
        <f>R88*$C$4</f>
        <v>0</v>
      </c>
      <c r="V88" s="523">
        <f>U88-G88</f>
        <v>-3000</v>
      </c>
      <c r="W88" s="524">
        <f>IF(G88=0,0,V88/G88)</f>
        <v>-1</v>
      </c>
      <c r="X88" s="524"/>
      <c r="Y88" s="441" t="s">
        <v>636</v>
      </c>
    </row>
    <row r="89" spans="1:25" x14ac:dyDescent="0.25">
      <c r="A89" s="540" t="s">
        <v>637</v>
      </c>
      <c r="B89" s="529" t="s">
        <v>638</v>
      </c>
      <c r="C89" s="515" t="s">
        <v>432</v>
      </c>
      <c r="D89" s="516">
        <v>12</v>
      </c>
      <c r="E89" s="517">
        <f>(1000/0.00465)*0.2</f>
        <v>43010.752688172048</v>
      </c>
      <c r="F89" s="778">
        <v>516129</v>
      </c>
      <c r="G89" s="778">
        <v>2400</v>
      </c>
      <c r="H89" s="512"/>
      <c r="I89" s="512"/>
      <c r="J89" s="512"/>
      <c r="K89" s="512"/>
      <c r="L89" s="512"/>
      <c r="M89" s="512"/>
      <c r="N89" s="512"/>
      <c r="O89" s="512"/>
      <c r="P89" s="512"/>
      <c r="Q89" s="526"/>
      <c r="R89" s="531"/>
      <c r="S89" s="523">
        <f>R89-F89</f>
        <v>-516129</v>
      </c>
      <c r="T89" s="524">
        <f>IF(F89=0,0,S89/F89)</f>
        <v>-1</v>
      </c>
      <c r="U89" s="523">
        <f>R89*$C$4</f>
        <v>0</v>
      </c>
      <c r="V89" s="523">
        <f>U89-G89</f>
        <v>-2400</v>
      </c>
      <c r="W89" s="524">
        <f>IF(G89=0,0,V89/G89)</f>
        <v>-1</v>
      </c>
      <c r="X89" s="524"/>
    </row>
    <row r="90" spans="1:25" ht="26.4" x14ac:dyDescent="0.25">
      <c r="A90" s="448" t="s">
        <v>639</v>
      </c>
      <c r="B90" s="529" t="s">
        <v>640</v>
      </c>
      <c r="C90" s="515" t="s">
        <v>432</v>
      </c>
      <c r="D90" s="516">
        <v>12</v>
      </c>
      <c r="E90" s="517">
        <f>(1000/0.00465)*0.2</f>
        <v>43010.752688172048</v>
      </c>
      <c r="F90" s="778">
        <v>516129</v>
      </c>
      <c r="G90" s="778">
        <v>2400</v>
      </c>
      <c r="H90" s="512"/>
      <c r="I90" s="512"/>
      <c r="J90" s="512"/>
      <c r="K90" s="512"/>
      <c r="L90" s="512"/>
      <c r="M90" s="512"/>
      <c r="N90" s="512"/>
      <c r="O90" s="512"/>
      <c r="P90" s="512"/>
      <c r="Q90" s="526"/>
      <c r="R90" s="531"/>
      <c r="S90" s="523">
        <f>R90-F90</f>
        <v>-516129</v>
      </c>
      <c r="T90" s="524">
        <f>IF(F90=0,0,S90/F90)</f>
        <v>-1</v>
      </c>
      <c r="U90" s="523">
        <f>R90*$C$4</f>
        <v>0</v>
      </c>
      <c r="V90" s="523">
        <f>U90-G90</f>
        <v>-2400</v>
      </c>
      <c r="W90" s="524">
        <f>IF(G90=0,0,V90/G90)</f>
        <v>-1</v>
      </c>
      <c r="X90" s="524"/>
    </row>
    <row r="91" spans="1:25" x14ac:dyDescent="0.25">
      <c r="A91" s="540" t="s">
        <v>641</v>
      </c>
      <c r="B91" s="529" t="s">
        <v>642</v>
      </c>
      <c r="C91" s="515" t="s">
        <v>432</v>
      </c>
      <c r="D91" s="516">
        <v>12</v>
      </c>
      <c r="E91" s="517">
        <f>(1000/0.00465)*0.2</f>
        <v>43010.752688172048</v>
      </c>
      <c r="F91" s="778">
        <v>516129</v>
      </c>
      <c r="G91" s="778">
        <v>2400</v>
      </c>
      <c r="H91" s="512"/>
      <c r="I91" s="512"/>
      <c r="J91" s="512"/>
      <c r="K91" s="512"/>
      <c r="L91" s="512"/>
      <c r="M91" s="512"/>
      <c r="N91" s="512"/>
      <c r="O91" s="512"/>
      <c r="P91" s="512"/>
      <c r="Q91" s="526"/>
      <c r="R91" s="531"/>
      <c r="S91" s="523">
        <f>R91-F91</f>
        <v>-516129</v>
      </c>
      <c r="T91" s="524">
        <f>IF(F91=0,0,S91/F91)</f>
        <v>-1</v>
      </c>
      <c r="U91" s="523">
        <f>R91*$C$4</f>
        <v>0</v>
      </c>
      <c r="V91" s="523">
        <f>U91-G91</f>
        <v>-2400</v>
      </c>
      <c r="W91" s="524">
        <f>IF(G91=0,0,V91/G91)</f>
        <v>-1</v>
      </c>
      <c r="X91" s="524"/>
    </row>
    <row r="92" spans="1:25" x14ac:dyDescent="0.25">
      <c r="A92" s="448" t="s">
        <v>643</v>
      </c>
      <c r="B92" s="529" t="s">
        <v>644</v>
      </c>
      <c r="C92" s="515" t="s">
        <v>432</v>
      </c>
      <c r="D92" s="516">
        <v>12</v>
      </c>
      <c r="E92" s="517">
        <f>(1000/0.00465)*0.2</f>
        <v>43010.752688172048</v>
      </c>
      <c r="F92" s="778">
        <v>516129</v>
      </c>
      <c r="G92" s="778">
        <v>2400</v>
      </c>
      <c r="H92" s="512"/>
      <c r="I92" s="512"/>
      <c r="J92" s="512"/>
      <c r="K92" s="512"/>
      <c r="L92" s="512"/>
      <c r="M92" s="512"/>
      <c r="N92" s="512"/>
      <c r="O92" s="512"/>
      <c r="P92" s="512"/>
      <c r="Q92" s="526"/>
      <c r="R92" s="531"/>
      <c r="S92" s="523">
        <f>R92-F92</f>
        <v>-516129</v>
      </c>
      <c r="T92" s="524">
        <f>IF(F92=0,0,S92/F92)</f>
        <v>-1</v>
      </c>
      <c r="U92" s="523">
        <f>R92*$C$4</f>
        <v>0</v>
      </c>
      <c r="V92" s="523">
        <f>U92-G92</f>
        <v>-2400</v>
      </c>
      <c r="W92" s="524">
        <f>IF(G92=0,0,V92/G92)</f>
        <v>-1</v>
      </c>
      <c r="X92" s="524"/>
    </row>
    <row r="93" spans="1:25" ht="26.4" x14ac:dyDescent="0.25">
      <c r="A93" s="540" t="s">
        <v>645</v>
      </c>
      <c r="B93" s="529" t="s">
        <v>646</v>
      </c>
      <c r="C93" s="515" t="s">
        <v>432</v>
      </c>
      <c r="D93" s="516">
        <v>12</v>
      </c>
      <c r="E93" s="517">
        <f>(1052/0.00465)*0.1</f>
        <v>22623.655913978499</v>
      </c>
      <c r="F93" s="778">
        <v>271484</v>
      </c>
      <c r="G93" s="778">
        <v>1262</v>
      </c>
      <c r="H93" s="512"/>
      <c r="I93" s="512"/>
      <c r="J93" s="512"/>
      <c r="K93" s="512"/>
      <c r="L93" s="512"/>
      <c r="M93" s="512"/>
      <c r="N93" s="512"/>
      <c r="O93" s="512"/>
      <c r="P93" s="512"/>
      <c r="Q93" s="526"/>
      <c r="R93" s="531"/>
      <c r="S93" s="523"/>
      <c r="T93" s="524"/>
      <c r="U93" s="523"/>
      <c r="V93" s="523"/>
      <c r="W93" s="524"/>
      <c r="X93" s="524"/>
    </row>
    <row r="94" spans="1:25" x14ac:dyDescent="0.25">
      <c r="A94" s="448" t="s">
        <v>647</v>
      </c>
      <c r="B94" s="529" t="s">
        <v>648</v>
      </c>
      <c r="C94" s="515" t="s">
        <v>432</v>
      </c>
      <c r="D94" s="516">
        <v>12</v>
      </c>
      <c r="E94" s="517">
        <f>(2188/0.00465)*0.1</f>
        <v>47053.763440860224</v>
      </c>
      <c r="F94" s="778">
        <v>564645</v>
      </c>
      <c r="G94" s="778">
        <v>2626</v>
      </c>
      <c r="H94" s="512"/>
      <c r="I94" s="512"/>
      <c r="J94" s="512"/>
      <c r="K94" s="512"/>
      <c r="L94" s="512"/>
      <c r="M94" s="512"/>
      <c r="N94" s="512"/>
      <c r="O94" s="512"/>
      <c r="P94" s="512"/>
      <c r="Q94" s="526"/>
      <c r="R94" s="531"/>
      <c r="S94" s="523">
        <f>R94-F94</f>
        <v>-564645</v>
      </c>
      <c r="T94" s="524">
        <f>IF(F94=0,0,S94/F94)</f>
        <v>-1</v>
      </c>
      <c r="U94" s="523">
        <f>R94*$C$4</f>
        <v>0</v>
      </c>
      <c r="V94" s="523">
        <f>U94-G94</f>
        <v>-2626</v>
      </c>
      <c r="W94" s="524">
        <f>IF(G94=0,0,V94/G94)</f>
        <v>-1</v>
      </c>
      <c r="X94" s="524"/>
    </row>
    <row r="95" spans="1:25" hidden="1" x14ac:dyDescent="0.25">
      <c r="A95" s="459"/>
      <c r="B95" s="541"/>
      <c r="C95" s="542"/>
      <c r="D95" s="543"/>
      <c r="E95" s="544"/>
      <c r="F95" s="530"/>
      <c r="G95" s="501"/>
      <c r="H95" s="502"/>
      <c r="I95" s="502"/>
      <c r="J95" s="502"/>
      <c r="K95" s="502"/>
      <c r="L95" s="502"/>
      <c r="M95" s="502"/>
      <c r="N95" s="502"/>
      <c r="O95" s="502"/>
      <c r="P95" s="502"/>
      <c r="Q95" s="545"/>
      <c r="R95" s="546"/>
      <c r="S95" s="523"/>
      <c r="T95" s="524"/>
      <c r="U95" s="523"/>
      <c r="V95" s="523"/>
      <c r="W95" s="524"/>
      <c r="X95" s="524"/>
    </row>
    <row r="96" spans="1:25" hidden="1" x14ac:dyDescent="0.25">
      <c r="A96" s="547"/>
      <c r="B96" s="548" t="s">
        <v>191</v>
      </c>
      <c r="C96" s="549"/>
      <c r="D96" s="550"/>
      <c r="E96" s="551"/>
      <c r="F96" s="552">
        <f>SUM(F83:F86)</f>
        <v>0</v>
      </c>
      <c r="G96" s="553">
        <f>SUM(G83:G86)</f>
        <v>0</v>
      </c>
      <c r="H96" s="502"/>
      <c r="I96" s="502"/>
      <c r="J96" s="502"/>
      <c r="K96" s="502"/>
      <c r="L96" s="502"/>
      <c r="M96" s="502"/>
      <c r="N96" s="502"/>
      <c r="O96" s="502"/>
      <c r="P96" s="502"/>
      <c r="Q96" s="545"/>
      <c r="R96" s="546"/>
      <c r="S96" s="523">
        <f>R96-F96</f>
        <v>0</v>
      </c>
      <c r="T96" s="524">
        <f>IF(F96=0,0,S96/F96)</f>
        <v>0</v>
      </c>
      <c r="U96" s="523">
        <f>R96*$C$4</f>
        <v>0</v>
      </c>
      <c r="V96" s="523">
        <f>U96-G96</f>
        <v>0</v>
      </c>
      <c r="W96" s="524">
        <f>IF(G96=0,0,V96/G96)</f>
        <v>0</v>
      </c>
      <c r="X96" s="524"/>
    </row>
    <row r="97" spans="1:24" hidden="1" x14ac:dyDescent="0.25">
      <c r="A97" s="547"/>
      <c r="B97" s="548" t="s">
        <v>190</v>
      </c>
      <c r="C97" s="549"/>
      <c r="D97" s="550"/>
      <c r="E97" s="551"/>
      <c r="F97" s="552">
        <f>SUM(F88:F95)</f>
        <v>3545806</v>
      </c>
      <c r="G97" s="553">
        <f>SUM(G88:G95)</f>
        <v>16488</v>
      </c>
      <c r="H97" s="502"/>
      <c r="I97" s="502"/>
      <c r="J97" s="502"/>
      <c r="K97" s="502"/>
      <c r="L97" s="502"/>
      <c r="M97" s="502"/>
      <c r="N97" s="502"/>
      <c r="O97" s="502"/>
      <c r="P97" s="502"/>
      <c r="Q97" s="545"/>
      <c r="R97" s="546"/>
      <c r="S97" s="523">
        <f>R97-F97</f>
        <v>-3545806</v>
      </c>
      <c r="T97" s="524">
        <f>IF(F97=0,0,S97/F97)</f>
        <v>-1</v>
      </c>
      <c r="U97" s="523">
        <f>R97*$C$4</f>
        <v>0</v>
      </c>
      <c r="V97" s="523">
        <f>U97-G97</f>
        <v>-16488</v>
      </c>
      <c r="W97" s="524">
        <f>IF(G97=0,0,V97/G97)</f>
        <v>-1</v>
      </c>
      <c r="X97" s="524"/>
    </row>
    <row r="98" spans="1:24" ht="13.8" thickBot="1" x14ac:dyDescent="0.3">
      <c r="A98" s="472"/>
      <c r="B98" s="554" t="s">
        <v>85</v>
      </c>
      <c r="C98" s="480"/>
      <c r="D98" s="499"/>
      <c r="E98" s="485"/>
      <c r="F98" s="555">
        <v>3545806</v>
      </c>
      <c r="G98" s="555">
        <v>16488</v>
      </c>
      <c r="H98" s="556"/>
      <c r="I98" s="556"/>
      <c r="J98" s="556"/>
      <c r="K98" s="556"/>
      <c r="L98" s="556"/>
      <c r="M98" s="556"/>
      <c r="N98" s="556"/>
      <c r="O98" s="556"/>
      <c r="P98" s="556"/>
      <c r="Q98" s="557"/>
      <c r="R98" s="558"/>
      <c r="S98" s="559">
        <f>R98-F98</f>
        <v>-3545806</v>
      </c>
      <c r="T98" s="560">
        <f>IF(F98=0,0,S98/F98)</f>
        <v>-1</v>
      </c>
      <c r="U98" s="559">
        <f>R98*$C$4</f>
        <v>0</v>
      </c>
      <c r="V98" s="559">
        <f>U98-G98</f>
        <v>-16488</v>
      </c>
      <c r="W98" s="560">
        <f>IF(G98=0,0,V98/G98)</f>
        <v>-1</v>
      </c>
      <c r="X98" s="560"/>
    </row>
    <row r="99" spans="1:24" ht="13.8" thickTop="1" x14ac:dyDescent="0.25">
      <c r="A99" s="459"/>
      <c r="B99" s="442"/>
      <c r="C99" s="453"/>
      <c r="D99" s="454"/>
      <c r="E99" s="458"/>
      <c r="F99" s="458"/>
      <c r="G99" s="501"/>
      <c r="H99" s="502"/>
      <c r="I99" s="502"/>
      <c r="J99" s="502"/>
      <c r="K99" s="502"/>
      <c r="L99" s="502"/>
      <c r="M99" s="502"/>
      <c r="N99" s="502"/>
      <c r="O99" s="502"/>
      <c r="P99" s="502"/>
      <c r="Q99" s="545"/>
      <c r="R99" s="546"/>
      <c r="S99" s="523"/>
      <c r="T99" s="524"/>
      <c r="U99" s="523"/>
      <c r="V99" s="523"/>
      <c r="W99" s="524"/>
      <c r="X99" s="524"/>
    </row>
    <row r="100" spans="1:24" x14ac:dyDescent="0.25">
      <c r="A100" s="505">
        <v>2</v>
      </c>
      <c r="B100" s="506" t="s">
        <v>99</v>
      </c>
      <c r="C100" s="507"/>
      <c r="D100" s="508"/>
      <c r="E100" s="509"/>
      <c r="F100" s="509"/>
      <c r="G100" s="561"/>
      <c r="H100" s="502"/>
      <c r="I100" s="502"/>
      <c r="J100" s="502"/>
      <c r="K100" s="502"/>
      <c r="L100" s="502"/>
      <c r="M100" s="502"/>
      <c r="N100" s="502"/>
      <c r="O100" s="502"/>
      <c r="P100" s="502"/>
      <c r="Q100" s="545"/>
      <c r="R100" s="562"/>
      <c r="S100" s="563"/>
      <c r="T100" s="564"/>
      <c r="U100" s="563"/>
      <c r="V100" s="563"/>
      <c r="W100" s="564"/>
      <c r="X100" s="564"/>
    </row>
    <row r="101" spans="1:24" x14ac:dyDescent="0.25">
      <c r="A101" s="565" t="s">
        <v>100</v>
      </c>
      <c r="B101" s="566" t="s">
        <v>70</v>
      </c>
      <c r="C101" s="567"/>
      <c r="D101" s="568"/>
      <c r="E101" s="569"/>
      <c r="F101" s="570">
        <f>SUM(F102:F106)</f>
        <v>100806451.61290324</v>
      </c>
      <c r="G101" s="571">
        <f>SUM(G102:G106)</f>
        <v>468750</v>
      </c>
      <c r="H101" s="512"/>
      <c r="I101" s="512"/>
      <c r="J101" s="512"/>
      <c r="K101" s="512"/>
      <c r="L101" s="512"/>
      <c r="M101" s="512"/>
      <c r="N101" s="512"/>
      <c r="O101" s="512"/>
      <c r="P101" s="512"/>
      <c r="Q101" s="526"/>
      <c r="R101" s="531"/>
      <c r="S101" s="572">
        <f t="shared" ref="S101:S120" si="0">R101-F101</f>
        <v>-100806451.61290324</v>
      </c>
      <c r="T101" s="573">
        <f t="shared" ref="T101:T120" si="1">IF(F101=0,0,S101/F101)</f>
        <v>-1</v>
      </c>
      <c r="U101" s="572">
        <f t="shared" ref="U101:U120" si="2">R101*$C$4</f>
        <v>0</v>
      </c>
      <c r="V101" s="572">
        <f t="shared" ref="V101:V120" si="3">U101-G101</f>
        <v>-468750</v>
      </c>
      <c r="W101" s="573">
        <f t="shared" ref="W101:W120" si="4">IF(G101=0,0,V101/G101)</f>
        <v>-1</v>
      </c>
      <c r="X101" s="573"/>
    </row>
    <row r="102" spans="1:24" x14ac:dyDescent="0.25">
      <c r="A102" s="574" t="s">
        <v>200</v>
      </c>
      <c r="B102" s="482" t="s">
        <v>649</v>
      </c>
      <c r="C102" s="575" t="s">
        <v>650</v>
      </c>
      <c r="D102" s="576">
        <v>2250</v>
      </c>
      <c r="E102" s="577">
        <f>60/0.00465</f>
        <v>12903.225806451614</v>
      </c>
      <c r="F102" s="530">
        <f>D102*E102</f>
        <v>29032258.064516131</v>
      </c>
      <c r="G102" s="538">
        <f>F102*C4</f>
        <v>135000</v>
      </c>
      <c r="H102" s="512"/>
      <c r="I102" s="512"/>
      <c r="J102" s="512"/>
      <c r="K102" s="512"/>
      <c r="L102" s="512"/>
      <c r="M102" s="512"/>
      <c r="N102" s="512"/>
      <c r="O102" s="512"/>
      <c r="P102" s="512"/>
      <c r="Q102" s="526"/>
      <c r="R102" s="531"/>
      <c r="S102" s="523">
        <f t="shared" si="0"/>
        <v>-29032258.064516131</v>
      </c>
      <c r="T102" s="524">
        <f t="shared" si="1"/>
        <v>-1</v>
      </c>
      <c r="U102" s="523">
        <f t="shared" si="2"/>
        <v>0</v>
      </c>
      <c r="V102" s="523">
        <f t="shared" si="3"/>
        <v>-135000</v>
      </c>
      <c r="W102" s="524">
        <f t="shared" si="4"/>
        <v>-1</v>
      </c>
      <c r="X102" s="524"/>
    </row>
    <row r="103" spans="1:24" x14ac:dyDescent="0.25">
      <c r="A103" s="574" t="s">
        <v>201</v>
      </c>
      <c r="B103" s="482" t="s">
        <v>651</v>
      </c>
      <c r="C103" s="575" t="s">
        <v>650</v>
      </c>
      <c r="D103" s="576">
        <v>2250</v>
      </c>
      <c r="E103" s="577">
        <f>45/0.00465</f>
        <v>9677.4193548387102</v>
      </c>
      <c r="F103" s="530">
        <f>D103*E103</f>
        <v>21774193.548387099</v>
      </c>
      <c r="G103" s="538">
        <f>F103*C4</f>
        <v>101250</v>
      </c>
      <c r="H103" s="512"/>
      <c r="I103" s="512"/>
      <c r="J103" s="512"/>
      <c r="K103" s="512"/>
      <c r="L103" s="512"/>
      <c r="M103" s="512"/>
      <c r="N103" s="512"/>
      <c r="O103" s="512"/>
      <c r="P103" s="512"/>
      <c r="Q103" s="526"/>
      <c r="R103" s="531"/>
      <c r="S103" s="523">
        <f t="shared" si="0"/>
        <v>-21774193.548387099</v>
      </c>
      <c r="T103" s="524">
        <f t="shared" si="1"/>
        <v>-1</v>
      </c>
      <c r="U103" s="523">
        <f t="shared" si="2"/>
        <v>0</v>
      </c>
      <c r="V103" s="523">
        <f t="shared" si="3"/>
        <v>-101250</v>
      </c>
      <c r="W103" s="524">
        <f t="shared" si="4"/>
        <v>-1</v>
      </c>
      <c r="X103" s="524"/>
    </row>
    <row r="104" spans="1:24" x14ac:dyDescent="0.25">
      <c r="A104" s="574" t="s">
        <v>202</v>
      </c>
      <c r="B104" s="482" t="s">
        <v>652</v>
      </c>
      <c r="C104" s="575" t="s">
        <v>650</v>
      </c>
      <c r="D104" s="576">
        <v>2250</v>
      </c>
      <c r="E104" s="577">
        <f>35/0.00465</f>
        <v>7526.8817204301085</v>
      </c>
      <c r="F104" s="530">
        <f>D104*E104</f>
        <v>16935483.870967746</v>
      </c>
      <c r="G104" s="538">
        <f>F104*C4</f>
        <v>78750.000000000015</v>
      </c>
      <c r="H104" s="512"/>
      <c r="I104" s="512"/>
      <c r="J104" s="512"/>
      <c r="K104" s="512"/>
      <c r="L104" s="512"/>
      <c r="M104" s="512"/>
      <c r="N104" s="512"/>
      <c r="O104" s="512"/>
      <c r="P104" s="512"/>
      <c r="Q104" s="526"/>
      <c r="R104" s="531"/>
      <c r="S104" s="523">
        <f t="shared" si="0"/>
        <v>-16935483.870967746</v>
      </c>
      <c r="T104" s="524">
        <f t="shared" si="1"/>
        <v>-1</v>
      </c>
      <c r="U104" s="523">
        <f t="shared" si="2"/>
        <v>0</v>
      </c>
      <c r="V104" s="523">
        <f t="shared" si="3"/>
        <v>-78750.000000000015</v>
      </c>
      <c r="W104" s="524">
        <f t="shared" si="4"/>
        <v>-1</v>
      </c>
      <c r="X104" s="524"/>
    </row>
    <row r="105" spans="1:24" x14ac:dyDescent="0.25">
      <c r="A105" s="574" t="s">
        <v>203</v>
      </c>
      <c r="B105" s="482" t="s">
        <v>653</v>
      </c>
      <c r="C105" s="575" t="s">
        <v>654</v>
      </c>
      <c r="D105" s="576">
        <v>250</v>
      </c>
      <c r="E105" s="577">
        <f>615/0.00465</f>
        <v>132258.06451612903</v>
      </c>
      <c r="F105" s="530">
        <f>D105*E105</f>
        <v>33064516.129032258</v>
      </c>
      <c r="G105" s="538">
        <f>F105*C4</f>
        <v>153750</v>
      </c>
      <c r="H105" s="512"/>
      <c r="I105" s="512"/>
      <c r="J105" s="512"/>
      <c r="K105" s="512"/>
      <c r="L105" s="512"/>
      <c r="M105" s="512"/>
      <c r="N105" s="512"/>
      <c r="O105" s="512"/>
      <c r="P105" s="512"/>
      <c r="Q105" s="526"/>
      <c r="R105" s="531"/>
      <c r="S105" s="523">
        <f t="shared" si="0"/>
        <v>-33064516.129032258</v>
      </c>
      <c r="T105" s="524">
        <f t="shared" si="1"/>
        <v>-1</v>
      </c>
      <c r="U105" s="523">
        <f t="shared" si="2"/>
        <v>0</v>
      </c>
      <c r="V105" s="523">
        <f t="shared" si="3"/>
        <v>-153750</v>
      </c>
      <c r="W105" s="524">
        <f t="shared" si="4"/>
        <v>-1</v>
      </c>
      <c r="X105" s="524"/>
    </row>
    <row r="106" spans="1:24" hidden="1" x14ac:dyDescent="0.25">
      <c r="A106" s="574"/>
      <c r="B106" s="482"/>
      <c r="C106" s="575"/>
      <c r="D106" s="576"/>
      <c r="E106" s="577"/>
      <c r="F106" s="570">
        <f>D106*E106</f>
        <v>0</v>
      </c>
      <c r="G106" s="570">
        <f>F106*C4</f>
        <v>0</v>
      </c>
      <c r="H106" s="512"/>
      <c r="I106" s="512"/>
      <c r="J106" s="512"/>
      <c r="K106" s="512"/>
      <c r="L106" s="512"/>
      <c r="M106" s="512"/>
      <c r="N106" s="512"/>
      <c r="O106" s="512"/>
      <c r="P106" s="512"/>
      <c r="Q106" s="526"/>
      <c r="R106" s="531"/>
      <c r="S106" s="523">
        <f t="shared" si="0"/>
        <v>0</v>
      </c>
      <c r="T106" s="524">
        <f t="shared" si="1"/>
        <v>0</v>
      </c>
      <c r="U106" s="523">
        <f t="shared" si="2"/>
        <v>0</v>
      </c>
      <c r="V106" s="523">
        <f t="shared" si="3"/>
        <v>0</v>
      </c>
      <c r="W106" s="524">
        <f t="shared" si="4"/>
        <v>0</v>
      </c>
      <c r="X106" s="538"/>
    </row>
    <row r="107" spans="1:24" x14ac:dyDescent="0.25">
      <c r="A107" s="565" t="s">
        <v>101</v>
      </c>
      <c r="B107" s="566" t="s">
        <v>59</v>
      </c>
      <c r="C107" s="567"/>
      <c r="D107" s="568"/>
      <c r="E107" s="569"/>
      <c r="F107" s="570">
        <f>SUM(F108:F108)</f>
        <v>19354838.709677421</v>
      </c>
      <c r="G107" s="571">
        <f>SUM(G108:G108)</f>
        <v>90000</v>
      </c>
      <c r="H107" s="512"/>
      <c r="I107" s="512"/>
      <c r="J107" s="512"/>
      <c r="K107" s="512"/>
      <c r="L107" s="512"/>
      <c r="M107" s="512"/>
      <c r="N107" s="512"/>
      <c r="O107" s="512"/>
      <c r="P107" s="512"/>
      <c r="Q107" s="526"/>
      <c r="R107" s="531"/>
      <c r="S107" s="572">
        <f t="shared" si="0"/>
        <v>-19354838.709677421</v>
      </c>
      <c r="T107" s="573">
        <f t="shared" si="1"/>
        <v>-1</v>
      </c>
      <c r="U107" s="572">
        <f t="shared" si="2"/>
        <v>0</v>
      </c>
      <c r="V107" s="572">
        <f t="shared" si="3"/>
        <v>-90000</v>
      </c>
      <c r="W107" s="573">
        <f t="shared" si="4"/>
        <v>-1</v>
      </c>
      <c r="X107" s="573"/>
    </row>
    <row r="108" spans="1:24" x14ac:dyDescent="0.25">
      <c r="A108" s="574" t="s">
        <v>205</v>
      </c>
      <c r="B108" s="482" t="s">
        <v>655</v>
      </c>
      <c r="C108" s="575" t="s">
        <v>650</v>
      </c>
      <c r="D108" s="576">
        <v>2250</v>
      </c>
      <c r="E108" s="577">
        <f>40/0.00465</f>
        <v>8602.1505376344085</v>
      </c>
      <c r="F108" s="530">
        <f>D108*E108</f>
        <v>19354838.709677421</v>
      </c>
      <c r="G108" s="538">
        <f>F108*C4</f>
        <v>90000</v>
      </c>
      <c r="H108" s="512"/>
      <c r="I108" s="512"/>
      <c r="J108" s="512"/>
      <c r="K108" s="512"/>
      <c r="L108" s="512"/>
      <c r="M108" s="512"/>
      <c r="N108" s="512"/>
      <c r="O108" s="512"/>
      <c r="P108" s="512"/>
      <c r="Q108" s="526"/>
      <c r="R108" s="531"/>
      <c r="S108" s="523">
        <f t="shared" si="0"/>
        <v>-19354838.709677421</v>
      </c>
      <c r="T108" s="524">
        <f t="shared" si="1"/>
        <v>-1</v>
      </c>
      <c r="U108" s="523">
        <f t="shared" si="2"/>
        <v>0</v>
      </c>
      <c r="V108" s="523">
        <f t="shared" si="3"/>
        <v>-90000</v>
      </c>
      <c r="W108" s="524">
        <f t="shared" si="4"/>
        <v>-1</v>
      </c>
      <c r="X108" s="524"/>
    </row>
    <row r="109" spans="1:24" x14ac:dyDescent="0.25">
      <c r="A109" s="565" t="s">
        <v>102</v>
      </c>
      <c r="B109" s="566" t="s">
        <v>71</v>
      </c>
      <c r="C109" s="567"/>
      <c r="D109" s="568"/>
      <c r="E109" s="569"/>
      <c r="F109" s="570">
        <v>0</v>
      </c>
      <c r="G109" s="571">
        <v>0</v>
      </c>
      <c r="H109" s="512"/>
      <c r="I109" s="512"/>
      <c r="J109" s="512"/>
      <c r="K109" s="512"/>
      <c r="L109" s="512"/>
      <c r="M109" s="512"/>
      <c r="N109" s="512"/>
      <c r="O109" s="512"/>
      <c r="P109" s="512"/>
      <c r="Q109" s="526"/>
      <c r="R109" s="531"/>
      <c r="S109" s="572">
        <f t="shared" si="0"/>
        <v>0</v>
      </c>
      <c r="T109" s="573">
        <f t="shared" si="1"/>
        <v>0</v>
      </c>
      <c r="U109" s="572">
        <f t="shared" si="2"/>
        <v>0</v>
      </c>
      <c r="V109" s="572">
        <f t="shared" si="3"/>
        <v>0</v>
      </c>
      <c r="W109" s="573">
        <f t="shared" si="4"/>
        <v>0</v>
      </c>
      <c r="X109" s="573"/>
    </row>
    <row r="110" spans="1:24" x14ac:dyDescent="0.25">
      <c r="A110" s="565" t="s">
        <v>103</v>
      </c>
      <c r="B110" s="566" t="s">
        <v>72</v>
      </c>
      <c r="C110" s="567"/>
      <c r="D110" s="568"/>
      <c r="E110" s="569"/>
      <c r="F110" s="570">
        <f>SUM(F111:F112)</f>
        <v>32258064.516129036</v>
      </c>
      <c r="G110" s="571">
        <f>SUM(G111:G112)</f>
        <v>150000</v>
      </c>
      <c r="H110" s="512"/>
      <c r="I110" s="512"/>
      <c r="J110" s="512"/>
      <c r="K110" s="512"/>
      <c r="L110" s="512"/>
      <c r="M110" s="512"/>
      <c r="N110" s="512"/>
      <c r="O110" s="512"/>
      <c r="P110" s="512"/>
      <c r="Q110" s="526"/>
      <c r="R110" s="531"/>
      <c r="S110" s="572">
        <f t="shared" si="0"/>
        <v>-32258064.516129036</v>
      </c>
      <c r="T110" s="573">
        <f t="shared" si="1"/>
        <v>-1</v>
      </c>
      <c r="U110" s="572">
        <f t="shared" si="2"/>
        <v>0</v>
      </c>
      <c r="V110" s="572">
        <f t="shared" si="3"/>
        <v>-150000</v>
      </c>
      <c r="W110" s="573">
        <f t="shared" si="4"/>
        <v>-1</v>
      </c>
      <c r="X110" s="573"/>
    </row>
    <row r="111" spans="1:24" x14ac:dyDescent="0.25">
      <c r="A111" s="574" t="s">
        <v>215</v>
      </c>
      <c r="B111" s="482" t="s">
        <v>656</v>
      </c>
      <c r="C111" s="575" t="s">
        <v>657</v>
      </c>
      <c r="D111" s="576">
        <v>300</v>
      </c>
      <c r="E111" s="577">
        <f>300/0.00465</f>
        <v>64516.129032258068</v>
      </c>
      <c r="F111" s="530">
        <f>D111*E111</f>
        <v>19354838.709677421</v>
      </c>
      <c r="G111" s="538">
        <f>F111*C4</f>
        <v>90000</v>
      </c>
      <c r="H111" s="512"/>
      <c r="I111" s="512"/>
      <c r="J111" s="512"/>
      <c r="K111" s="512"/>
      <c r="L111" s="512"/>
      <c r="M111" s="512"/>
      <c r="N111" s="512"/>
      <c r="O111" s="512"/>
      <c r="P111" s="512"/>
      <c r="Q111" s="526"/>
      <c r="R111" s="531"/>
      <c r="S111" s="523">
        <f t="shared" si="0"/>
        <v>-19354838.709677421</v>
      </c>
      <c r="T111" s="524">
        <f t="shared" si="1"/>
        <v>-1</v>
      </c>
      <c r="U111" s="523">
        <f t="shared" si="2"/>
        <v>0</v>
      </c>
      <c r="V111" s="523">
        <f t="shared" si="3"/>
        <v>-90000</v>
      </c>
      <c r="W111" s="524">
        <f t="shared" si="4"/>
        <v>-1</v>
      </c>
      <c r="X111" s="524"/>
    </row>
    <row r="112" spans="1:24" x14ac:dyDescent="0.25">
      <c r="A112" s="574" t="s">
        <v>216</v>
      </c>
      <c r="B112" s="482" t="s">
        <v>658</v>
      </c>
      <c r="C112" s="575" t="s">
        <v>659</v>
      </c>
      <c r="D112" s="576">
        <v>300</v>
      </c>
      <c r="E112" s="577">
        <f>200/0.00465</f>
        <v>43010.752688172048</v>
      </c>
      <c r="F112" s="530">
        <f>D112*E112</f>
        <v>12903225.806451615</v>
      </c>
      <c r="G112" s="538">
        <f>F112*C4</f>
        <v>60000.000000000007</v>
      </c>
      <c r="H112" s="512"/>
      <c r="I112" s="512"/>
      <c r="J112" s="512"/>
      <c r="K112" s="512"/>
      <c r="L112" s="512"/>
      <c r="M112" s="512"/>
      <c r="N112" s="512"/>
      <c r="O112" s="512"/>
      <c r="P112" s="512"/>
      <c r="Q112" s="526"/>
      <c r="R112" s="531"/>
      <c r="S112" s="523">
        <f t="shared" si="0"/>
        <v>-12903225.806451615</v>
      </c>
      <c r="T112" s="524">
        <f t="shared" si="1"/>
        <v>-1</v>
      </c>
      <c r="U112" s="523">
        <f t="shared" si="2"/>
        <v>0</v>
      </c>
      <c r="V112" s="523">
        <f t="shared" si="3"/>
        <v>-60000.000000000007</v>
      </c>
      <c r="W112" s="524">
        <f t="shared" si="4"/>
        <v>-1</v>
      </c>
      <c r="X112" s="524"/>
    </row>
    <row r="113" spans="1:24" x14ac:dyDescent="0.25">
      <c r="A113" s="565" t="s">
        <v>104</v>
      </c>
      <c r="B113" s="566" t="s">
        <v>73</v>
      </c>
      <c r="C113" s="567"/>
      <c r="D113" s="568"/>
      <c r="E113" s="569"/>
      <c r="F113" s="570">
        <v>0</v>
      </c>
      <c r="G113" s="570">
        <v>0</v>
      </c>
      <c r="H113" s="512"/>
      <c r="I113" s="512"/>
      <c r="J113" s="512"/>
      <c r="K113" s="512"/>
      <c r="L113" s="512"/>
      <c r="M113" s="512"/>
      <c r="N113" s="512"/>
      <c r="O113" s="512"/>
      <c r="P113" s="512"/>
      <c r="Q113" s="526"/>
      <c r="R113" s="531"/>
      <c r="S113" s="572">
        <f t="shared" si="0"/>
        <v>0</v>
      </c>
      <c r="T113" s="573">
        <f t="shared" si="1"/>
        <v>0</v>
      </c>
      <c r="U113" s="572">
        <f t="shared" si="2"/>
        <v>0</v>
      </c>
      <c r="V113" s="572">
        <f t="shared" si="3"/>
        <v>0</v>
      </c>
      <c r="W113" s="573">
        <f t="shared" si="4"/>
        <v>0</v>
      </c>
      <c r="X113" s="573"/>
    </row>
    <row r="114" spans="1:24" x14ac:dyDescent="0.25">
      <c r="A114" s="565" t="s">
        <v>105</v>
      </c>
      <c r="B114" s="566" t="s">
        <v>58</v>
      </c>
      <c r="C114" s="567"/>
      <c r="D114" s="568"/>
      <c r="E114" s="569"/>
      <c r="F114" s="570">
        <v>0</v>
      </c>
      <c r="G114" s="570">
        <v>0</v>
      </c>
      <c r="H114" s="512"/>
      <c r="I114" s="512"/>
      <c r="J114" s="512"/>
      <c r="K114" s="512"/>
      <c r="L114" s="512"/>
      <c r="M114" s="512"/>
      <c r="N114" s="512"/>
      <c r="O114" s="512"/>
      <c r="P114" s="512"/>
      <c r="Q114" s="526"/>
      <c r="R114" s="531"/>
      <c r="S114" s="572">
        <f t="shared" si="0"/>
        <v>0</v>
      </c>
      <c r="T114" s="573">
        <f t="shared" si="1"/>
        <v>0</v>
      </c>
      <c r="U114" s="572">
        <f t="shared" si="2"/>
        <v>0</v>
      </c>
      <c r="V114" s="572">
        <f t="shared" si="3"/>
        <v>0</v>
      </c>
      <c r="W114" s="573">
        <f t="shared" si="4"/>
        <v>0</v>
      </c>
      <c r="X114" s="573"/>
    </row>
    <row r="115" spans="1:24" x14ac:dyDescent="0.25">
      <c r="A115" s="565" t="s">
        <v>106</v>
      </c>
      <c r="B115" s="566" t="s">
        <v>57</v>
      </c>
      <c r="C115" s="567"/>
      <c r="D115" s="568"/>
      <c r="E115" s="569"/>
      <c r="F115" s="570">
        <f>SUM(F116:F117)</f>
        <v>91397849.462365597</v>
      </c>
      <c r="G115" s="571">
        <f>SUM(G116:G117)</f>
        <v>425000</v>
      </c>
      <c r="H115" s="512"/>
      <c r="I115" s="512"/>
      <c r="J115" s="512"/>
      <c r="K115" s="512"/>
      <c r="L115" s="512"/>
      <c r="M115" s="512"/>
      <c r="N115" s="512"/>
      <c r="O115" s="512"/>
      <c r="P115" s="512"/>
      <c r="Q115" s="526"/>
      <c r="R115" s="531"/>
      <c r="S115" s="572">
        <f t="shared" si="0"/>
        <v>-91397849.462365597</v>
      </c>
      <c r="T115" s="573">
        <f t="shared" si="1"/>
        <v>-1</v>
      </c>
      <c r="U115" s="572">
        <f t="shared" si="2"/>
        <v>0</v>
      </c>
      <c r="V115" s="572">
        <f t="shared" si="3"/>
        <v>-425000</v>
      </c>
      <c r="W115" s="573">
        <f t="shared" si="4"/>
        <v>-1</v>
      </c>
      <c r="X115" s="573"/>
    </row>
    <row r="116" spans="1:24" x14ac:dyDescent="0.25">
      <c r="A116" s="574" t="s">
        <v>230</v>
      </c>
      <c r="B116" s="482" t="s">
        <v>660</v>
      </c>
      <c r="C116" s="575" t="s">
        <v>415</v>
      </c>
      <c r="D116" s="576">
        <v>500</v>
      </c>
      <c r="E116" s="577">
        <f>450/0.00465</f>
        <v>96774.193548387106</v>
      </c>
      <c r="F116" s="530">
        <f>D116*E116</f>
        <v>48387096.774193555</v>
      </c>
      <c r="G116" s="538">
        <f>F116*C4</f>
        <v>225000</v>
      </c>
      <c r="H116" s="512"/>
      <c r="I116" s="512"/>
      <c r="J116" s="512"/>
      <c r="K116" s="512"/>
      <c r="L116" s="512"/>
      <c r="M116" s="512"/>
      <c r="N116" s="512"/>
      <c r="O116" s="512"/>
      <c r="P116" s="512"/>
      <c r="Q116" s="526"/>
      <c r="R116" s="531"/>
      <c r="S116" s="523">
        <f t="shared" si="0"/>
        <v>-48387096.774193555</v>
      </c>
      <c r="T116" s="524">
        <f t="shared" si="1"/>
        <v>-1</v>
      </c>
      <c r="U116" s="523">
        <f t="shared" si="2"/>
        <v>0</v>
      </c>
      <c r="V116" s="523">
        <f t="shared" si="3"/>
        <v>-225000</v>
      </c>
      <c r="W116" s="524">
        <f t="shared" si="4"/>
        <v>-1</v>
      </c>
      <c r="X116" s="524"/>
    </row>
    <row r="117" spans="1:24" x14ac:dyDescent="0.25">
      <c r="A117" s="574" t="s">
        <v>231</v>
      </c>
      <c r="B117" s="482" t="s">
        <v>661</v>
      </c>
      <c r="C117" s="575" t="s">
        <v>415</v>
      </c>
      <c r="D117" s="576">
        <v>500</v>
      </c>
      <c r="E117" s="577">
        <f>400/0.00465</f>
        <v>86021.505376344096</v>
      </c>
      <c r="F117" s="530">
        <f>D117*E117</f>
        <v>43010752.68817205</v>
      </c>
      <c r="G117" s="538">
        <f>F117*C4</f>
        <v>200000.00000000003</v>
      </c>
      <c r="H117" s="512"/>
      <c r="I117" s="512"/>
      <c r="J117" s="512"/>
      <c r="K117" s="512"/>
      <c r="L117" s="512"/>
      <c r="M117" s="512"/>
      <c r="N117" s="512"/>
      <c r="O117" s="512"/>
      <c r="P117" s="512"/>
      <c r="Q117" s="526"/>
      <c r="R117" s="531"/>
      <c r="S117" s="523">
        <f t="shared" si="0"/>
        <v>-43010752.68817205</v>
      </c>
      <c r="T117" s="524">
        <f t="shared" si="1"/>
        <v>-1</v>
      </c>
      <c r="U117" s="523">
        <f t="shared" si="2"/>
        <v>0</v>
      </c>
      <c r="V117" s="523">
        <f t="shared" si="3"/>
        <v>-200000.00000000003</v>
      </c>
      <c r="W117" s="524">
        <f t="shared" si="4"/>
        <v>-1</v>
      </c>
      <c r="X117" s="524"/>
    </row>
    <row r="118" spans="1:24" x14ac:dyDescent="0.25">
      <c r="A118" s="565" t="s">
        <v>107</v>
      </c>
      <c r="B118" s="566" t="s">
        <v>74</v>
      </c>
      <c r="C118" s="567"/>
      <c r="D118" s="568"/>
      <c r="E118" s="569"/>
      <c r="F118" s="570">
        <v>0</v>
      </c>
      <c r="G118" s="570">
        <v>0</v>
      </c>
      <c r="H118" s="512"/>
      <c r="I118" s="512"/>
      <c r="J118" s="512"/>
      <c r="K118" s="512"/>
      <c r="L118" s="512"/>
      <c r="M118" s="512"/>
      <c r="N118" s="512"/>
      <c r="O118" s="512"/>
      <c r="P118" s="512"/>
      <c r="Q118" s="526"/>
      <c r="R118" s="531"/>
      <c r="S118" s="572">
        <f t="shared" si="0"/>
        <v>0</v>
      </c>
      <c r="T118" s="573">
        <f t="shared" si="1"/>
        <v>0</v>
      </c>
      <c r="U118" s="572">
        <f t="shared" si="2"/>
        <v>0</v>
      </c>
      <c r="V118" s="572">
        <f t="shared" si="3"/>
        <v>0</v>
      </c>
      <c r="W118" s="573">
        <f t="shared" si="4"/>
        <v>0</v>
      </c>
      <c r="X118" s="573"/>
    </row>
    <row r="119" spans="1:24" x14ac:dyDescent="0.25">
      <c r="A119" s="565" t="s">
        <v>108</v>
      </c>
      <c r="B119" s="566" t="s">
        <v>75</v>
      </c>
      <c r="C119" s="567"/>
      <c r="D119" s="568"/>
      <c r="E119" s="569"/>
      <c r="F119" s="570">
        <v>0</v>
      </c>
      <c r="G119" s="570">
        <v>0</v>
      </c>
      <c r="H119" s="512"/>
      <c r="I119" s="512"/>
      <c r="J119" s="512"/>
      <c r="K119" s="512"/>
      <c r="L119" s="512"/>
      <c r="M119" s="512"/>
      <c r="N119" s="512"/>
      <c r="O119" s="512"/>
      <c r="P119" s="512"/>
      <c r="Q119" s="526"/>
      <c r="R119" s="531"/>
      <c r="S119" s="572">
        <f t="shared" si="0"/>
        <v>0</v>
      </c>
      <c r="T119" s="573">
        <f t="shared" si="1"/>
        <v>0</v>
      </c>
      <c r="U119" s="572">
        <f t="shared" si="2"/>
        <v>0</v>
      </c>
      <c r="V119" s="572">
        <f t="shared" si="3"/>
        <v>0</v>
      </c>
      <c r="W119" s="573">
        <f t="shared" si="4"/>
        <v>0</v>
      </c>
      <c r="X119" s="573"/>
    </row>
    <row r="120" spans="1:24" x14ac:dyDescent="0.25">
      <c r="A120" s="565" t="s">
        <v>109</v>
      </c>
      <c r="B120" s="566" t="s">
        <v>76</v>
      </c>
      <c r="C120" s="567"/>
      <c r="D120" s="568"/>
      <c r="E120" s="569"/>
      <c r="F120" s="570">
        <v>0</v>
      </c>
      <c r="G120" s="570">
        <v>0</v>
      </c>
      <c r="H120" s="512"/>
      <c r="I120" s="512"/>
      <c r="J120" s="512"/>
      <c r="K120" s="512"/>
      <c r="L120" s="512"/>
      <c r="M120" s="512"/>
      <c r="N120" s="512"/>
      <c r="O120" s="512"/>
      <c r="P120" s="512"/>
      <c r="Q120" s="526"/>
      <c r="R120" s="531"/>
      <c r="S120" s="572">
        <f t="shared" si="0"/>
        <v>0</v>
      </c>
      <c r="T120" s="573">
        <f t="shared" si="1"/>
        <v>0</v>
      </c>
      <c r="U120" s="572">
        <f t="shared" si="2"/>
        <v>0</v>
      </c>
      <c r="V120" s="572">
        <f t="shared" si="3"/>
        <v>0</v>
      </c>
      <c r="W120" s="573">
        <f t="shared" si="4"/>
        <v>0</v>
      </c>
      <c r="X120" s="573"/>
    </row>
    <row r="121" spans="1:24" x14ac:dyDescent="0.25">
      <c r="B121" s="578"/>
      <c r="C121" s="579"/>
      <c r="D121" s="580"/>
      <c r="E121" s="581"/>
      <c r="F121" s="530"/>
      <c r="G121" s="538"/>
      <c r="H121" s="512"/>
      <c r="I121" s="512"/>
      <c r="J121" s="512"/>
      <c r="K121" s="512"/>
      <c r="L121" s="512"/>
      <c r="M121" s="512"/>
      <c r="N121" s="512"/>
      <c r="O121" s="512"/>
      <c r="P121" s="512"/>
      <c r="Q121" s="526"/>
      <c r="R121" s="539"/>
      <c r="S121" s="523"/>
      <c r="T121" s="524"/>
      <c r="U121" s="523"/>
      <c r="V121" s="523"/>
      <c r="W121" s="524"/>
      <c r="X121" s="524"/>
    </row>
    <row r="122" spans="1:24" ht="13.8" thickBot="1" x14ac:dyDescent="0.3">
      <c r="A122" s="472"/>
      <c r="B122" s="554" t="s">
        <v>130</v>
      </c>
      <c r="C122" s="480"/>
      <c r="D122" s="499"/>
      <c r="E122" s="485"/>
      <c r="F122" s="555">
        <f>SUM(F101+F107+F109+F110+F113+F114+F115+F118+F119+F120)</f>
        <v>243817204.30107531</v>
      </c>
      <c r="G122" s="555">
        <f>SUM(G101+G107+G109+G110+G113+G114+G115+G118+G119+G120)</f>
        <v>1133750</v>
      </c>
      <c r="H122" s="556"/>
      <c r="I122" s="556"/>
      <c r="J122" s="556"/>
      <c r="K122" s="556"/>
      <c r="L122" s="556"/>
      <c r="M122" s="556"/>
      <c r="N122" s="556"/>
      <c r="O122" s="556"/>
      <c r="P122" s="556"/>
      <c r="Q122" s="557"/>
      <c r="R122" s="558"/>
      <c r="S122" s="559">
        <f t="shared" ref="S122:S185" si="5">R122-F122</f>
        <v>-243817204.30107531</v>
      </c>
      <c r="T122" s="560">
        <f t="shared" ref="T122:T185" si="6">IF(F122=0,0,S122/F122)</f>
        <v>-1</v>
      </c>
      <c r="U122" s="559">
        <f t="shared" ref="U122:U185" si="7">R122*$C$4</f>
        <v>0</v>
      </c>
      <c r="V122" s="559">
        <f t="shared" ref="V122:V185" si="8">U122-G122</f>
        <v>-1133750</v>
      </c>
      <c r="W122" s="560">
        <f t="shared" ref="W122:W185" si="9">IF(G122=0,0,V122/G122)</f>
        <v>-1</v>
      </c>
      <c r="X122" s="560"/>
    </row>
    <row r="123" spans="1:24" ht="13.8" thickTop="1" x14ac:dyDescent="0.25">
      <c r="C123" s="450"/>
      <c r="D123" s="443"/>
      <c r="E123" s="444"/>
      <c r="G123" s="530"/>
      <c r="H123" s="582"/>
      <c r="I123" s="582"/>
      <c r="J123" s="582"/>
      <c r="K123" s="582"/>
      <c r="L123" s="582"/>
      <c r="M123" s="582"/>
      <c r="N123" s="582"/>
      <c r="O123" s="582"/>
      <c r="P123" s="582"/>
      <c r="Q123" s="583"/>
      <c r="R123" s="584"/>
      <c r="S123" s="523"/>
      <c r="T123" s="524"/>
      <c r="U123" s="523"/>
      <c r="V123" s="523"/>
      <c r="W123" s="524"/>
      <c r="X123" s="524"/>
    </row>
    <row r="124" spans="1:24" x14ac:dyDescent="0.25">
      <c r="A124" s="505">
        <v>3</v>
      </c>
      <c r="B124" s="506" t="s">
        <v>133</v>
      </c>
      <c r="C124" s="507"/>
      <c r="D124" s="508"/>
      <c r="E124" s="509"/>
      <c r="F124" s="509"/>
      <c r="G124" s="561"/>
      <c r="H124" s="502"/>
      <c r="I124" s="502"/>
      <c r="J124" s="502"/>
      <c r="K124" s="502"/>
      <c r="L124" s="502"/>
      <c r="M124" s="502"/>
      <c r="N124" s="502"/>
      <c r="O124" s="502"/>
      <c r="P124" s="502"/>
      <c r="Q124" s="545"/>
      <c r="R124" s="562"/>
      <c r="S124" s="563"/>
      <c r="T124" s="564"/>
      <c r="U124" s="563"/>
      <c r="V124" s="563"/>
      <c r="W124" s="564"/>
      <c r="X124" s="564"/>
    </row>
    <row r="125" spans="1:24" x14ac:dyDescent="0.25">
      <c r="A125" s="585" t="s">
        <v>662</v>
      </c>
      <c r="B125" s="586" t="s">
        <v>116</v>
      </c>
      <c r="C125" s="515"/>
      <c r="D125" s="516"/>
      <c r="E125" s="517"/>
      <c r="F125" s="477">
        <f>D125*E125</f>
        <v>0</v>
      </c>
      <c r="G125" s="587">
        <f>F125*C4</f>
        <v>0</v>
      </c>
      <c r="H125" s="512"/>
      <c r="I125" s="512"/>
      <c r="J125" s="512"/>
      <c r="K125" s="512"/>
      <c r="L125" s="512"/>
      <c r="M125" s="512"/>
      <c r="N125" s="512"/>
      <c r="O125" s="512"/>
      <c r="P125" s="512"/>
      <c r="Q125" s="526"/>
      <c r="R125" s="531"/>
      <c r="S125" s="523">
        <f t="shared" si="5"/>
        <v>0</v>
      </c>
      <c r="T125" s="524">
        <f t="shared" si="6"/>
        <v>0</v>
      </c>
      <c r="U125" s="523">
        <f t="shared" si="7"/>
        <v>0</v>
      </c>
      <c r="V125" s="523">
        <f t="shared" si="8"/>
        <v>0</v>
      </c>
      <c r="W125" s="524">
        <f t="shared" si="9"/>
        <v>0</v>
      </c>
      <c r="X125" s="524"/>
    </row>
    <row r="126" spans="1:24" x14ac:dyDescent="0.25">
      <c r="A126" s="585" t="s">
        <v>663</v>
      </c>
      <c r="B126" s="586" t="s">
        <v>52</v>
      </c>
      <c r="C126" s="515"/>
      <c r="D126" s="516"/>
      <c r="E126" s="517"/>
      <c r="F126" s="477">
        <f t="shared" ref="F126:F134" si="10">D126*E126</f>
        <v>0</v>
      </c>
      <c r="G126" s="587">
        <f>F126*C4</f>
        <v>0</v>
      </c>
      <c r="H126" s="512"/>
      <c r="I126" s="512"/>
      <c r="J126" s="512"/>
      <c r="K126" s="512"/>
      <c r="L126" s="512"/>
      <c r="M126" s="512"/>
      <c r="N126" s="512"/>
      <c r="O126" s="512"/>
      <c r="P126" s="512"/>
      <c r="Q126" s="526"/>
      <c r="R126" s="531"/>
      <c r="S126" s="523">
        <f t="shared" si="5"/>
        <v>0</v>
      </c>
      <c r="T126" s="524">
        <f t="shared" si="6"/>
        <v>0</v>
      </c>
      <c r="U126" s="523">
        <f t="shared" si="7"/>
        <v>0</v>
      </c>
      <c r="V126" s="523">
        <f t="shared" si="8"/>
        <v>0</v>
      </c>
      <c r="W126" s="524">
        <f t="shared" si="9"/>
        <v>0</v>
      </c>
      <c r="X126" s="524"/>
    </row>
    <row r="127" spans="1:24" x14ac:dyDescent="0.25">
      <c r="A127" s="585" t="s">
        <v>664</v>
      </c>
      <c r="B127" s="586" t="s">
        <v>313</v>
      </c>
      <c r="C127" s="588"/>
      <c r="D127" s="515"/>
      <c r="E127" s="516"/>
      <c r="F127" s="477">
        <f t="shared" si="10"/>
        <v>0</v>
      </c>
      <c r="G127" s="587">
        <f>F127*C4</f>
        <v>0</v>
      </c>
      <c r="H127" s="512"/>
      <c r="I127" s="512"/>
      <c r="J127" s="512"/>
      <c r="K127" s="512"/>
      <c r="L127" s="512"/>
      <c r="M127" s="512"/>
      <c r="N127" s="512"/>
      <c r="O127" s="512"/>
      <c r="P127" s="512"/>
      <c r="Q127" s="526"/>
      <c r="R127" s="531"/>
      <c r="S127" s="523">
        <f t="shared" si="5"/>
        <v>0</v>
      </c>
      <c r="T127" s="524">
        <f t="shared" si="6"/>
        <v>0</v>
      </c>
      <c r="U127" s="523">
        <f t="shared" si="7"/>
        <v>0</v>
      </c>
      <c r="V127" s="523">
        <f t="shared" si="8"/>
        <v>0</v>
      </c>
      <c r="W127" s="524">
        <f t="shared" si="9"/>
        <v>0</v>
      </c>
      <c r="X127" s="524"/>
    </row>
    <row r="128" spans="1:24" x14ac:dyDescent="0.25">
      <c r="A128" s="585" t="s">
        <v>665</v>
      </c>
      <c r="B128" s="586" t="s">
        <v>146</v>
      </c>
      <c r="C128" s="588"/>
      <c r="D128" s="515"/>
      <c r="E128" s="516"/>
      <c r="F128" s="477">
        <f t="shared" si="10"/>
        <v>0</v>
      </c>
      <c r="G128" s="587">
        <f>F128*C4</f>
        <v>0</v>
      </c>
      <c r="H128" s="512"/>
      <c r="I128" s="512"/>
      <c r="J128" s="512"/>
      <c r="K128" s="512"/>
      <c r="L128" s="512"/>
      <c r="M128" s="512"/>
      <c r="N128" s="512"/>
      <c r="O128" s="512"/>
      <c r="P128" s="512"/>
      <c r="Q128" s="526"/>
      <c r="R128" s="531"/>
      <c r="S128" s="523">
        <f t="shared" si="5"/>
        <v>0</v>
      </c>
      <c r="T128" s="524">
        <f t="shared" si="6"/>
        <v>0</v>
      </c>
      <c r="U128" s="523">
        <f t="shared" si="7"/>
        <v>0</v>
      </c>
      <c r="V128" s="523">
        <f t="shared" si="8"/>
        <v>0</v>
      </c>
      <c r="W128" s="524">
        <f t="shared" si="9"/>
        <v>0</v>
      </c>
      <c r="X128" s="524"/>
    </row>
    <row r="129" spans="1:24" ht="15" customHeight="1" x14ac:dyDescent="0.25">
      <c r="A129" s="585" t="s">
        <v>666</v>
      </c>
      <c r="B129" s="586" t="s">
        <v>147</v>
      </c>
      <c r="C129" s="588"/>
      <c r="D129" s="515"/>
      <c r="E129" s="516"/>
      <c r="F129" s="477">
        <f t="shared" si="10"/>
        <v>0</v>
      </c>
      <c r="G129" s="587">
        <f>F129*C4</f>
        <v>0</v>
      </c>
      <c r="H129" s="512"/>
      <c r="I129" s="512"/>
      <c r="J129" s="512"/>
      <c r="K129" s="512"/>
      <c r="L129" s="512"/>
      <c r="M129" s="512"/>
      <c r="N129" s="512"/>
      <c r="O129" s="512"/>
      <c r="P129" s="512"/>
      <c r="Q129" s="526"/>
      <c r="R129" s="531"/>
      <c r="S129" s="523">
        <f t="shared" si="5"/>
        <v>0</v>
      </c>
      <c r="T129" s="524">
        <f t="shared" si="6"/>
        <v>0</v>
      </c>
      <c r="U129" s="523">
        <f t="shared" si="7"/>
        <v>0</v>
      </c>
      <c r="V129" s="523">
        <f t="shared" si="8"/>
        <v>0</v>
      </c>
      <c r="W129" s="524">
        <f t="shared" si="9"/>
        <v>0</v>
      </c>
      <c r="X129" s="524"/>
    </row>
    <row r="130" spans="1:24" ht="15" customHeight="1" x14ac:dyDescent="0.25">
      <c r="A130" s="585" t="s">
        <v>667</v>
      </c>
      <c r="B130" s="586" t="s">
        <v>251</v>
      </c>
      <c r="C130" s="588"/>
      <c r="D130" s="515"/>
      <c r="E130" s="516"/>
      <c r="F130" s="477">
        <f t="shared" si="10"/>
        <v>0</v>
      </c>
      <c r="G130" s="587">
        <f>F130*C4</f>
        <v>0</v>
      </c>
      <c r="H130" s="512"/>
      <c r="I130" s="512"/>
      <c r="J130" s="512"/>
      <c r="K130" s="512"/>
      <c r="L130" s="512"/>
      <c r="M130" s="512"/>
      <c r="N130" s="512"/>
      <c r="O130" s="512"/>
      <c r="P130" s="512"/>
      <c r="Q130" s="526"/>
      <c r="R130" s="531"/>
      <c r="S130" s="523">
        <f t="shared" si="5"/>
        <v>0</v>
      </c>
      <c r="T130" s="524">
        <f t="shared" si="6"/>
        <v>0</v>
      </c>
      <c r="U130" s="523">
        <f t="shared" si="7"/>
        <v>0</v>
      </c>
      <c r="V130" s="523">
        <f t="shared" si="8"/>
        <v>0</v>
      </c>
      <c r="W130" s="524">
        <f t="shared" si="9"/>
        <v>0</v>
      </c>
      <c r="X130" s="524"/>
    </row>
    <row r="131" spans="1:24" ht="15" customHeight="1" x14ac:dyDescent="0.25">
      <c r="A131" s="514" t="s">
        <v>668</v>
      </c>
      <c r="B131" s="586" t="s">
        <v>312</v>
      </c>
      <c r="C131" s="588"/>
      <c r="D131" s="515"/>
      <c r="E131" s="516"/>
      <c r="F131" s="477">
        <f t="shared" si="10"/>
        <v>0</v>
      </c>
      <c r="G131" s="587">
        <f>F131*C4</f>
        <v>0</v>
      </c>
      <c r="H131" s="512"/>
      <c r="I131" s="512"/>
      <c r="J131" s="512"/>
      <c r="K131" s="512"/>
      <c r="L131" s="512"/>
      <c r="M131" s="512"/>
      <c r="N131" s="512"/>
      <c r="O131" s="512"/>
      <c r="P131" s="512"/>
      <c r="Q131" s="526"/>
      <c r="R131" s="531"/>
      <c r="S131" s="523"/>
      <c r="T131" s="524"/>
      <c r="U131" s="523"/>
      <c r="V131" s="523"/>
      <c r="W131" s="524"/>
      <c r="X131" s="524"/>
    </row>
    <row r="132" spans="1:24" ht="15" customHeight="1" x14ac:dyDescent="0.25">
      <c r="A132" s="514" t="s">
        <v>669</v>
      </c>
      <c r="B132" s="586" t="s">
        <v>308</v>
      </c>
      <c r="C132" s="588"/>
      <c r="D132" s="515"/>
      <c r="E132" s="516"/>
      <c r="F132" s="477">
        <f t="shared" si="10"/>
        <v>0</v>
      </c>
      <c r="G132" s="587">
        <f>F132*C4</f>
        <v>0</v>
      </c>
      <c r="H132" s="512"/>
      <c r="I132" s="512"/>
      <c r="J132" s="512"/>
      <c r="K132" s="512"/>
      <c r="L132" s="512"/>
      <c r="M132" s="512"/>
      <c r="N132" s="512"/>
      <c r="O132" s="512"/>
      <c r="P132" s="512"/>
      <c r="Q132" s="526"/>
      <c r="R132" s="531"/>
      <c r="S132" s="523"/>
      <c r="T132" s="524"/>
      <c r="U132" s="523"/>
      <c r="V132" s="523"/>
      <c r="W132" s="524"/>
      <c r="X132" s="524"/>
    </row>
    <row r="133" spans="1:24" x14ac:dyDescent="0.25">
      <c r="A133" s="514" t="s">
        <v>670</v>
      </c>
      <c r="B133" s="586" t="s">
        <v>145</v>
      </c>
      <c r="C133" s="588" t="s">
        <v>432</v>
      </c>
      <c r="D133" s="515">
        <v>12</v>
      </c>
      <c r="E133" s="516">
        <f>300/0.00465</f>
        <v>64516.129032258068</v>
      </c>
      <c r="F133" s="477">
        <f t="shared" si="10"/>
        <v>774193.54838709685</v>
      </c>
      <c r="G133" s="587">
        <f>F133*C4</f>
        <v>3600</v>
      </c>
      <c r="H133" s="512"/>
      <c r="I133" s="512"/>
      <c r="J133" s="512"/>
      <c r="K133" s="512"/>
      <c r="L133" s="512"/>
      <c r="M133" s="512"/>
      <c r="N133" s="512"/>
      <c r="O133" s="512"/>
      <c r="P133" s="512"/>
      <c r="Q133" s="526"/>
      <c r="R133" s="531"/>
      <c r="S133" s="523">
        <f t="shared" si="5"/>
        <v>-774193.54838709685</v>
      </c>
      <c r="T133" s="524">
        <f t="shared" si="6"/>
        <v>-1</v>
      </c>
      <c r="U133" s="523">
        <f t="shared" si="7"/>
        <v>0</v>
      </c>
      <c r="V133" s="523">
        <f t="shared" si="8"/>
        <v>-3600</v>
      </c>
      <c r="W133" s="524">
        <f t="shared" si="9"/>
        <v>-1</v>
      </c>
      <c r="X133" s="524"/>
    </row>
    <row r="134" spans="1:24" x14ac:dyDescent="0.25">
      <c r="A134" s="585" t="s">
        <v>671</v>
      </c>
      <c r="B134" s="586" t="s">
        <v>171</v>
      </c>
      <c r="C134" s="588" t="s">
        <v>577</v>
      </c>
      <c r="D134" s="515">
        <v>1</v>
      </c>
      <c r="E134" s="516">
        <f>5000/0.00465</f>
        <v>1075268.8172043012</v>
      </c>
      <c r="F134" s="477">
        <f t="shared" si="10"/>
        <v>1075268.8172043012</v>
      </c>
      <c r="G134" s="587">
        <f>F134*C4</f>
        <v>5000</v>
      </c>
      <c r="H134" s="512"/>
      <c r="I134" s="512"/>
      <c r="J134" s="512"/>
      <c r="K134" s="512"/>
      <c r="L134" s="512"/>
      <c r="M134" s="512"/>
      <c r="N134" s="512"/>
      <c r="O134" s="512"/>
      <c r="P134" s="512"/>
      <c r="Q134" s="526"/>
      <c r="R134" s="531"/>
      <c r="S134" s="523">
        <f t="shared" si="5"/>
        <v>-1075268.8172043012</v>
      </c>
      <c r="T134" s="524">
        <f t="shared" si="6"/>
        <v>-1</v>
      </c>
      <c r="U134" s="523">
        <f t="shared" si="7"/>
        <v>0</v>
      </c>
      <c r="V134" s="523">
        <f t="shared" si="8"/>
        <v>-5000</v>
      </c>
      <c r="W134" s="524">
        <f t="shared" si="9"/>
        <v>-1</v>
      </c>
      <c r="X134" s="524"/>
    </row>
    <row r="135" spans="1:24" x14ac:dyDescent="0.25">
      <c r="B135" s="486"/>
      <c r="C135" s="450"/>
      <c r="D135" s="443"/>
      <c r="E135" s="444"/>
      <c r="G135" s="530"/>
      <c r="H135" s="582"/>
      <c r="I135" s="582"/>
      <c r="J135" s="582"/>
      <c r="K135" s="582"/>
      <c r="L135" s="582"/>
      <c r="M135" s="582"/>
      <c r="N135" s="582"/>
      <c r="O135" s="582"/>
      <c r="P135" s="582"/>
      <c r="Q135" s="583"/>
      <c r="R135" s="584"/>
      <c r="S135" s="523"/>
      <c r="T135" s="524"/>
      <c r="U135" s="523"/>
      <c r="V135" s="523"/>
      <c r="W135" s="524"/>
      <c r="X135" s="524"/>
    </row>
    <row r="136" spans="1:24" ht="13.8" thickBot="1" x14ac:dyDescent="0.3">
      <c r="A136" s="472"/>
      <c r="B136" s="554" t="s">
        <v>114</v>
      </c>
      <c r="C136" s="480"/>
      <c r="D136" s="499"/>
      <c r="E136" s="485"/>
      <c r="F136" s="555">
        <f>SUM(F125:F134)</f>
        <v>1849462.365591398</v>
      </c>
      <c r="G136" s="555">
        <f>SUM(G125:G134)</f>
        <v>8600</v>
      </c>
      <c r="H136" s="556"/>
      <c r="I136" s="556"/>
      <c r="J136" s="556"/>
      <c r="K136" s="556"/>
      <c r="L136" s="556"/>
      <c r="M136" s="556"/>
      <c r="N136" s="556"/>
      <c r="O136" s="556"/>
      <c r="P136" s="556"/>
      <c r="Q136" s="557"/>
      <c r="R136" s="558"/>
      <c r="S136" s="559">
        <f t="shared" si="5"/>
        <v>-1849462.365591398</v>
      </c>
      <c r="T136" s="560">
        <f t="shared" si="6"/>
        <v>-1</v>
      </c>
      <c r="U136" s="559">
        <f t="shared" si="7"/>
        <v>0</v>
      </c>
      <c r="V136" s="559">
        <f t="shared" si="8"/>
        <v>-8600</v>
      </c>
      <c r="W136" s="560">
        <f t="shared" si="9"/>
        <v>-1</v>
      </c>
      <c r="X136" s="560"/>
    </row>
    <row r="137" spans="1:24" ht="13.8" thickTop="1" x14ac:dyDescent="0.25">
      <c r="B137" s="448"/>
      <c r="F137" s="530"/>
      <c r="G137" s="589"/>
      <c r="H137" s="512"/>
      <c r="I137" s="512"/>
      <c r="J137" s="512"/>
      <c r="K137" s="512"/>
      <c r="L137" s="512"/>
      <c r="M137" s="512"/>
      <c r="N137" s="512"/>
      <c r="O137" s="512"/>
      <c r="P137" s="512"/>
      <c r="Q137" s="526"/>
      <c r="R137" s="539"/>
      <c r="S137" s="523"/>
      <c r="T137" s="524"/>
      <c r="U137" s="523"/>
      <c r="V137" s="523"/>
      <c r="W137" s="524"/>
      <c r="X137" s="524"/>
    </row>
    <row r="138" spans="1:24" x14ac:dyDescent="0.25">
      <c r="A138" s="505">
        <v>4</v>
      </c>
      <c r="B138" s="506" t="s">
        <v>113</v>
      </c>
      <c r="C138" s="507"/>
      <c r="D138" s="508"/>
      <c r="E138" s="509"/>
      <c r="F138" s="509"/>
      <c r="G138" s="561"/>
      <c r="H138" s="502"/>
      <c r="I138" s="502"/>
      <c r="J138" s="502"/>
      <c r="K138" s="502"/>
      <c r="L138" s="502"/>
      <c r="M138" s="502"/>
      <c r="N138" s="502"/>
      <c r="O138" s="502"/>
      <c r="P138" s="502"/>
      <c r="Q138" s="545"/>
      <c r="R138" s="562"/>
      <c r="S138" s="563"/>
      <c r="T138" s="564"/>
      <c r="U138" s="563"/>
      <c r="V138" s="563"/>
      <c r="W138" s="564"/>
      <c r="X138" s="564"/>
    </row>
    <row r="139" spans="1:24" x14ac:dyDescent="0.25">
      <c r="A139" s="442" t="s">
        <v>19</v>
      </c>
      <c r="B139" s="448"/>
      <c r="F139" s="530"/>
      <c r="G139" s="589"/>
      <c r="H139" s="512"/>
      <c r="I139" s="512"/>
      <c r="J139" s="512"/>
      <c r="K139" s="512"/>
      <c r="L139" s="512"/>
      <c r="M139" s="512"/>
      <c r="N139" s="512"/>
      <c r="O139" s="512"/>
      <c r="P139" s="512"/>
      <c r="Q139" s="526"/>
      <c r="R139" s="539"/>
      <c r="S139" s="523"/>
      <c r="T139" s="524"/>
      <c r="U139" s="523"/>
      <c r="V139" s="523"/>
      <c r="W139" s="524"/>
      <c r="X139" s="524"/>
    </row>
    <row r="140" spans="1:24" x14ac:dyDescent="0.25">
      <c r="A140" s="448" t="s">
        <v>672</v>
      </c>
      <c r="B140" s="590" t="s">
        <v>48</v>
      </c>
      <c r="C140" s="515"/>
      <c r="D140" s="516"/>
      <c r="E140" s="517"/>
      <c r="F140" s="530">
        <f>D140*E140</f>
        <v>0</v>
      </c>
      <c r="G140" s="589">
        <f>F140*C4</f>
        <v>0</v>
      </c>
      <c r="H140" s="512"/>
      <c r="I140" s="512"/>
      <c r="J140" s="512"/>
      <c r="K140" s="512"/>
      <c r="L140" s="512"/>
      <c r="M140" s="512"/>
      <c r="N140" s="512"/>
      <c r="O140" s="512"/>
      <c r="P140" s="512"/>
      <c r="Q140" s="526"/>
      <c r="R140" s="531"/>
      <c r="S140" s="523">
        <f t="shared" si="5"/>
        <v>0</v>
      </c>
      <c r="T140" s="524">
        <f t="shared" si="6"/>
        <v>0</v>
      </c>
      <c r="U140" s="523">
        <f t="shared" si="7"/>
        <v>0</v>
      </c>
      <c r="V140" s="523">
        <f t="shared" si="8"/>
        <v>0</v>
      </c>
      <c r="W140" s="524">
        <f t="shared" si="9"/>
        <v>0</v>
      </c>
      <c r="X140" s="524"/>
    </row>
    <row r="141" spans="1:24" x14ac:dyDescent="0.25">
      <c r="A141" s="448" t="s">
        <v>673</v>
      </c>
      <c r="B141" s="590" t="s">
        <v>49</v>
      </c>
      <c r="C141" s="515"/>
      <c r="D141" s="516"/>
      <c r="E141" s="517"/>
      <c r="F141" s="530">
        <f>D141*E141</f>
        <v>0</v>
      </c>
      <c r="G141" s="589">
        <f>F141*C4</f>
        <v>0</v>
      </c>
      <c r="H141" s="512"/>
      <c r="I141" s="512"/>
      <c r="J141" s="512"/>
      <c r="K141" s="512"/>
      <c r="L141" s="512"/>
      <c r="M141" s="512"/>
      <c r="N141" s="512"/>
      <c r="O141" s="512"/>
      <c r="P141" s="512"/>
      <c r="Q141" s="526"/>
      <c r="R141" s="531"/>
      <c r="S141" s="523">
        <f t="shared" si="5"/>
        <v>0</v>
      </c>
      <c r="T141" s="524">
        <f t="shared" si="6"/>
        <v>0</v>
      </c>
      <c r="U141" s="523">
        <f t="shared" si="7"/>
        <v>0</v>
      </c>
      <c r="V141" s="523">
        <f t="shared" si="8"/>
        <v>0</v>
      </c>
      <c r="W141" s="524">
        <f t="shared" si="9"/>
        <v>0</v>
      </c>
      <c r="X141" s="524"/>
    </row>
    <row r="142" spans="1:24" x14ac:dyDescent="0.25">
      <c r="A142" s="442" t="s">
        <v>7</v>
      </c>
      <c r="B142" s="591"/>
      <c r="C142" s="592"/>
      <c r="D142" s="593"/>
      <c r="E142" s="594"/>
      <c r="F142" s="530"/>
      <c r="G142" s="589"/>
      <c r="H142" s="512"/>
      <c r="I142" s="512"/>
      <c r="J142" s="512"/>
      <c r="K142" s="512"/>
      <c r="L142" s="512"/>
      <c r="M142" s="512"/>
      <c r="N142" s="512"/>
      <c r="O142" s="512"/>
      <c r="P142" s="512"/>
      <c r="Q142" s="526"/>
      <c r="R142" s="539"/>
      <c r="S142" s="523"/>
      <c r="T142" s="524"/>
      <c r="U142" s="523"/>
      <c r="V142" s="523"/>
      <c r="W142" s="524"/>
      <c r="X142" s="524"/>
    </row>
    <row r="143" spans="1:24" x14ac:dyDescent="0.25">
      <c r="A143" s="448" t="s">
        <v>674</v>
      </c>
      <c r="B143" s="590" t="s">
        <v>50</v>
      </c>
      <c r="C143" s="515" t="s">
        <v>432</v>
      </c>
      <c r="D143" s="516">
        <v>12</v>
      </c>
      <c r="E143" s="517">
        <f>750/0.00465</f>
        <v>161290.32258064518</v>
      </c>
      <c r="F143" s="530">
        <f>D143*E143</f>
        <v>1935483.8709677421</v>
      </c>
      <c r="G143" s="538">
        <f>F143*C4</f>
        <v>9000</v>
      </c>
      <c r="H143" s="512"/>
      <c r="I143" s="512"/>
      <c r="J143" s="512"/>
      <c r="K143" s="512"/>
      <c r="L143" s="512"/>
      <c r="M143" s="512"/>
      <c r="N143" s="512"/>
      <c r="O143" s="512"/>
      <c r="P143" s="512"/>
      <c r="Q143" s="526"/>
      <c r="R143" s="531"/>
      <c r="S143" s="523">
        <f t="shared" si="5"/>
        <v>-1935483.8709677421</v>
      </c>
      <c r="T143" s="524">
        <f t="shared" si="6"/>
        <v>-1</v>
      </c>
      <c r="U143" s="523">
        <f t="shared" si="7"/>
        <v>0</v>
      </c>
      <c r="V143" s="523">
        <f t="shared" si="8"/>
        <v>-9000</v>
      </c>
      <c r="W143" s="524">
        <f t="shared" si="9"/>
        <v>-1</v>
      </c>
      <c r="X143" s="524"/>
    </row>
    <row r="144" spans="1:24" x14ac:dyDescent="0.25">
      <c r="A144" s="448" t="s">
        <v>675</v>
      </c>
      <c r="B144" s="591" t="s">
        <v>51</v>
      </c>
      <c r="C144" s="515" t="s">
        <v>432</v>
      </c>
      <c r="D144" s="516">
        <v>12</v>
      </c>
      <c r="E144" s="517">
        <f>500/0.00465</f>
        <v>107526.88172043012</v>
      </c>
      <c r="F144" s="530">
        <f>D144*E144</f>
        <v>1290322.5806451614</v>
      </c>
      <c r="G144" s="538">
        <f>F144*C4</f>
        <v>6000</v>
      </c>
      <c r="H144" s="512"/>
      <c r="I144" s="512"/>
      <c r="J144" s="512"/>
      <c r="K144" s="512"/>
      <c r="L144" s="512"/>
      <c r="M144" s="512"/>
      <c r="N144" s="512"/>
      <c r="O144" s="512"/>
      <c r="P144" s="512"/>
      <c r="Q144" s="526"/>
      <c r="R144" s="531"/>
      <c r="S144" s="523">
        <f t="shared" si="5"/>
        <v>-1290322.5806451614</v>
      </c>
      <c r="T144" s="524">
        <f t="shared" si="6"/>
        <v>-1</v>
      </c>
      <c r="U144" s="523">
        <f t="shared" si="7"/>
        <v>0</v>
      </c>
      <c r="V144" s="523">
        <f t="shared" si="8"/>
        <v>-6000</v>
      </c>
      <c r="W144" s="524">
        <f t="shared" si="9"/>
        <v>-1</v>
      </c>
      <c r="X144" s="524"/>
    </row>
    <row r="145" spans="1:24" x14ac:dyDescent="0.25">
      <c r="B145" s="591"/>
      <c r="C145" s="592"/>
      <c r="D145" s="593"/>
      <c r="E145" s="594"/>
      <c r="F145" s="530"/>
      <c r="G145" s="589"/>
      <c r="H145" s="512"/>
      <c r="I145" s="512"/>
      <c r="J145" s="512"/>
      <c r="K145" s="512"/>
      <c r="L145" s="512"/>
      <c r="M145" s="512"/>
      <c r="N145" s="512"/>
      <c r="O145" s="512"/>
      <c r="P145" s="512"/>
      <c r="Q145" s="526"/>
      <c r="R145" s="539"/>
      <c r="S145" s="523"/>
      <c r="T145" s="524"/>
      <c r="U145" s="523"/>
      <c r="V145" s="523"/>
      <c r="W145" s="524"/>
      <c r="X145" s="524"/>
    </row>
    <row r="146" spans="1:24" x14ac:dyDescent="0.25">
      <c r="A146" s="448" t="s">
        <v>676</v>
      </c>
      <c r="B146" s="586" t="s">
        <v>187</v>
      </c>
      <c r="C146" s="515" t="s">
        <v>432</v>
      </c>
      <c r="D146" s="516">
        <v>12</v>
      </c>
      <c r="E146" s="517">
        <f>900/0.00465</f>
        <v>193548.38709677421</v>
      </c>
      <c r="F146" s="530">
        <f>D146*E146</f>
        <v>2322580.6451612907</v>
      </c>
      <c r="G146" s="589">
        <f>F146*C4</f>
        <v>10800</v>
      </c>
      <c r="H146" s="512"/>
      <c r="I146" s="512"/>
      <c r="J146" s="512"/>
      <c r="K146" s="512"/>
      <c r="L146" s="512"/>
      <c r="M146" s="512"/>
      <c r="N146" s="512"/>
      <c r="O146" s="512"/>
      <c r="P146" s="512"/>
      <c r="Q146" s="526"/>
      <c r="R146" s="531"/>
      <c r="S146" s="523">
        <f t="shared" si="5"/>
        <v>-2322580.6451612907</v>
      </c>
      <c r="T146" s="524">
        <f t="shared" si="6"/>
        <v>-1</v>
      </c>
      <c r="U146" s="523">
        <f t="shared" si="7"/>
        <v>0</v>
      </c>
      <c r="V146" s="523">
        <f t="shared" si="8"/>
        <v>-10800</v>
      </c>
      <c r="W146" s="524">
        <f t="shared" si="9"/>
        <v>-1</v>
      </c>
      <c r="X146" s="524"/>
    </row>
    <row r="147" spans="1:24" x14ac:dyDescent="0.25">
      <c r="A147" s="448" t="s">
        <v>677</v>
      </c>
      <c r="B147" s="578" t="s">
        <v>54</v>
      </c>
      <c r="C147" s="515" t="s">
        <v>432</v>
      </c>
      <c r="D147" s="516">
        <v>12</v>
      </c>
      <c r="E147" s="517">
        <f>400/0.00465</f>
        <v>86021.505376344096</v>
      </c>
      <c r="F147" s="530">
        <f>D147*E147</f>
        <v>1032258.0645161292</v>
      </c>
      <c r="G147" s="589">
        <f>F147*C4</f>
        <v>4800</v>
      </c>
      <c r="H147" s="512"/>
      <c r="I147" s="512"/>
      <c r="J147" s="512"/>
      <c r="K147" s="512"/>
      <c r="L147" s="512"/>
      <c r="M147" s="512"/>
      <c r="N147" s="512"/>
      <c r="O147" s="512"/>
      <c r="P147" s="512"/>
      <c r="Q147" s="526"/>
      <c r="R147" s="531"/>
      <c r="S147" s="523">
        <f t="shared" si="5"/>
        <v>-1032258.0645161292</v>
      </c>
      <c r="T147" s="524">
        <f t="shared" si="6"/>
        <v>-1</v>
      </c>
      <c r="U147" s="523">
        <f t="shared" si="7"/>
        <v>0</v>
      </c>
      <c r="V147" s="523">
        <f t="shared" si="8"/>
        <v>-4800</v>
      </c>
      <c r="W147" s="524">
        <f t="shared" si="9"/>
        <v>-1</v>
      </c>
      <c r="X147" s="524"/>
    </row>
    <row r="148" spans="1:24" x14ac:dyDescent="0.25">
      <c r="A148" s="448" t="s">
        <v>678</v>
      </c>
      <c r="B148" s="578" t="s">
        <v>55</v>
      </c>
      <c r="C148" s="515" t="s">
        <v>432</v>
      </c>
      <c r="D148" s="516">
        <v>12</v>
      </c>
      <c r="E148" s="517">
        <f>225/0.00465</f>
        <v>48387.096774193553</v>
      </c>
      <c r="F148" s="530">
        <f>D148*E148</f>
        <v>580645.16129032266</v>
      </c>
      <c r="G148" s="589">
        <f>F148*C4</f>
        <v>2700</v>
      </c>
      <c r="H148" s="512"/>
      <c r="I148" s="512"/>
      <c r="J148" s="512"/>
      <c r="K148" s="512"/>
      <c r="L148" s="512"/>
      <c r="M148" s="512"/>
      <c r="N148" s="512"/>
      <c r="O148" s="512"/>
      <c r="P148" s="512"/>
      <c r="Q148" s="526"/>
      <c r="R148" s="531"/>
      <c r="S148" s="523">
        <f t="shared" si="5"/>
        <v>-580645.16129032266</v>
      </c>
      <c r="T148" s="524">
        <f t="shared" si="6"/>
        <v>-1</v>
      </c>
      <c r="U148" s="523">
        <f t="shared" si="7"/>
        <v>0</v>
      </c>
      <c r="V148" s="523">
        <f t="shared" si="8"/>
        <v>-2700</v>
      </c>
      <c r="W148" s="524">
        <f t="shared" si="9"/>
        <v>-1</v>
      </c>
      <c r="X148" s="524"/>
    </row>
    <row r="149" spans="1:24" x14ac:dyDescent="0.25">
      <c r="A149" s="448" t="s">
        <v>679</v>
      </c>
      <c r="B149" s="578" t="s">
        <v>131</v>
      </c>
      <c r="C149" s="515" t="s">
        <v>432</v>
      </c>
      <c r="D149" s="516">
        <v>12</v>
      </c>
      <c r="E149" s="517">
        <f>800/0.00465</f>
        <v>172043.01075268819</v>
      </c>
      <c r="F149" s="530">
        <f>D149*E149</f>
        <v>2064516.1290322584</v>
      </c>
      <c r="G149" s="589">
        <f>F149*C4</f>
        <v>9600</v>
      </c>
      <c r="H149" s="512"/>
      <c r="I149" s="512"/>
      <c r="J149" s="512"/>
      <c r="K149" s="512"/>
      <c r="L149" s="512"/>
      <c r="M149" s="512"/>
      <c r="N149" s="512"/>
      <c r="O149" s="512"/>
      <c r="P149" s="512"/>
      <c r="Q149" s="526"/>
      <c r="R149" s="531"/>
      <c r="S149" s="523">
        <f t="shared" si="5"/>
        <v>-2064516.1290322584</v>
      </c>
      <c r="T149" s="524">
        <f t="shared" si="6"/>
        <v>-1</v>
      </c>
      <c r="U149" s="523">
        <f t="shared" si="7"/>
        <v>0</v>
      </c>
      <c r="V149" s="523">
        <f t="shared" si="8"/>
        <v>-9600</v>
      </c>
      <c r="W149" s="524">
        <f t="shared" si="9"/>
        <v>-1</v>
      </c>
      <c r="X149" s="524"/>
    </row>
    <row r="150" spans="1:24" x14ac:dyDescent="0.25">
      <c r="A150" s="448" t="s">
        <v>680</v>
      </c>
      <c r="B150" s="578" t="s">
        <v>132</v>
      </c>
      <c r="C150" s="515" t="s">
        <v>432</v>
      </c>
      <c r="D150" s="516">
        <v>12</v>
      </c>
      <c r="E150" s="517">
        <f>250/0.00465</f>
        <v>53763.440860215058</v>
      </c>
      <c r="F150" s="530">
        <f>D150*E150</f>
        <v>645161.29032258072</v>
      </c>
      <c r="G150" s="589">
        <f>F150*C4</f>
        <v>3000</v>
      </c>
      <c r="H150" s="512"/>
      <c r="I150" s="512"/>
      <c r="J150" s="512"/>
      <c r="K150" s="512"/>
      <c r="L150" s="512"/>
      <c r="M150" s="512"/>
      <c r="N150" s="512"/>
      <c r="O150" s="512"/>
      <c r="P150" s="512"/>
      <c r="Q150" s="526"/>
      <c r="R150" s="531"/>
      <c r="S150" s="523">
        <f t="shared" si="5"/>
        <v>-645161.29032258072</v>
      </c>
      <c r="T150" s="524">
        <f t="shared" si="6"/>
        <v>-1</v>
      </c>
      <c r="U150" s="523">
        <f t="shared" si="7"/>
        <v>0</v>
      </c>
      <c r="V150" s="523">
        <f t="shared" si="8"/>
        <v>-3000</v>
      </c>
      <c r="W150" s="524">
        <f t="shared" si="9"/>
        <v>-1</v>
      </c>
      <c r="X150" s="524"/>
    </row>
    <row r="151" spans="1:24" hidden="1" x14ac:dyDescent="0.25">
      <c r="C151" s="595"/>
      <c r="D151" s="595"/>
      <c r="E151" s="595"/>
      <c r="F151" s="596"/>
      <c r="G151" s="538"/>
      <c r="H151" s="512"/>
      <c r="I151" s="512"/>
      <c r="J151" s="512"/>
      <c r="K151" s="512"/>
      <c r="L151" s="512"/>
      <c r="M151" s="512"/>
      <c r="N151" s="512"/>
      <c r="O151" s="512"/>
      <c r="P151" s="512"/>
      <c r="Q151" s="526"/>
      <c r="R151" s="539"/>
      <c r="S151" s="523"/>
      <c r="T151" s="524"/>
      <c r="U151" s="523"/>
      <c r="V151" s="523"/>
      <c r="W151" s="524"/>
      <c r="X151" s="524"/>
    </row>
    <row r="152" spans="1:24" hidden="1" x14ac:dyDescent="0.25">
      <c r="A152" s="597"/>
      <c r="B152" s="598" t="s">
        <v>194</v>
      </c>
      <c r="C152" s="598"/>
      <c r="D152" s="598"/>
      <c r="E152" s="598"/>
      <c r="F152" s="599">
        <f>SUM(F140:F142)</f>
        <v>0</v>
      </c>
      <c r="G152" s="600">
        <f>SUM(G140:G142)</f>
        <v>0</v>
      </c>
      <c r="H152" s="512"/>
      <c r="I152" s="512"/>
      <c r="J152" s="512"/>
      <c r="K152" s="512"/>
      <c r="L152" s="512"/>
      <c r="M152" s="512"/>
      <c r="N152" s="512"/>
      <c r="O152" s="512"/>
      <c r="P152" s="512"/>
      <c r="Q152" s="526"/>
      <c r="R152" s="539"/>
      <c r="S152" s="523">
        <f t="shared" si="5"/>
        <v>0</v>
      </c>
      <c r="T152" s="524">
        <f t="shared" si="6"/>
        <v>0</v>
      </c>
      <c r="U152" s="523">
        <f t="shared" si="7"/>
        <v>0</v>
      </c>
      <c r="V152" s="523">
        <f t="shared" si="8"/>
        <v>0</v>
      </c>
      <c r="W152" s="524">
        <f t="shared" si="9"/>
        <v>0</v>
      </c>
      <c r="X152" s="524"/>
    </row>
    <row r="153" spans="1:24" hidden="1" x14ac:dyDescent="0.25">
      <c r="A153" s="597"/>
      <c r="B153" s="598" t="s">
        <v>7</v>
      </c>
      <c r="C153" s="598"/>
      <c r="D153" s="598"/>
      <c r="E153" s="598"/>
      <c r="F153" s="599">
        <f>SUM(F143:F145)</f>
        <v>3225806.4516129037</v>
      </c>
      <c r="G153" s="600">
        <f>SUM(G143:G145)</f>
        <v>15000</v>
      </c>
      <c r="H153" s="512"/>
      <c r="I153" s="512"/>
      <c r="J153" s="512"/>
      <c r="K153" s="512"/>
      <c r="L153" s="512"/>
      <c r="M153" s="512"/>
      <c r="N153" s="512"/>
      <c r="O153" s="512"/>
      <c r="P153" s="512"/>
      <c r="Q153" s="526"/>
      <c r="R153" s="539"/>
      <c r="S153" s="523">
        <f t="shared" si="5"/>
        <v>-3225806.4516129037</v>
      </c>
      <c r="T153" s="524">
        <f t="shared" si="6"/>
        <v>-1</v>
      </c>
      <c r="U153" s="523">
        <f t="shared" si="7"/>
        <v>0</v>
      </c>
      <c r="V153" s="523">
        <f t="shared" si="8"/>
        <v>-15000</v>
      </c>
      <c r="W153" s="524">
        <f t="shared" si="9"/>
        <v>-1</v>
      </c>
      <c r="X153" s="524"/>
    </row>
    <row r="154" spans="1:24" hidden="1" x14ac:dyDescent="0.25">
      <c r="A154" s="597"/>
      <c r="B154" s="598" t="s">
        <v>8</v>
      </c>
      <c r="C154" s="598"/>
      <c r="D154" s="598"/>
      <c r="E154" s="598"/>
      <c r="F154" s="599">
        <f>SUM(F146:F151)</f>
        <v>6645161.2903225804</v>
      </c>
      <c r="G154" s="600">
        <f>SUM(G146:G151)</f>
        <v>30900</v>
      </c>
      <c r="H154" s="512"/>
      <c r="I154" s="512"/>
      <c r="J154" s="512"/>
      <c r="K154" s="512"/>
      <c r="L154" s="512"/>
      <c r="M154" s="512"/>
      <c r="N154" s="512"/>
      <c r="O154" s="512"/>
      <c r="P154" s="512"/>
      <c r="Q154" s="526"/>
      <c r="R154" s="539"/>
      <c r="S154" s="523">
        <f t="shared" si="5"/>
        <v>-6645161.2903225804</v>
      </c>
      <c r="T154" s="524">
        <f t="shared" si="6"/>
        <v>-1</v>
      </c>
      <c r="U154" s="523">
        <f t="shared" si="7"/>
        <v>0</v>
      </c>
      <c r="V154" s="523">
        <f t="shared" si="8"/>
        <v>-30900</v>
      </c>
      <c r="W154" s="524">
        <f t="shared" si="9"/>
        <v>-1</v>
      </c>
      <c r="X154" s="524"/>
    </row>
    <row r="155" spans="1:24" ht="13.8" thickBot="1" x14ac:dyDescent="0.3">
      <c r="A155" s="472"/>
      <c r="B155" s="554" t="s">
        <v>115</v>
      </c>
      <c r="C155" s="480"/>
      <c r="D155" s="499"/>
      <c r="E155" s="485"/>
      <c r="F155" s="555">
        <f>SUM(F140+F141+F143+F144+F146+F147+F148+F149+F150)</f>
        <v>9870967.741935486</v>
      </c>
      <c r="G155" s="555">
        <f>SUM(G140+G141+G143+G144+G146+G148+G147+G149+G150)</f>
        <v>45900</v>
      </c>
      <c r="H155" s="556"/>
      <c r="I155" s="556"/>
      <c r="J155" s="556"/>
      <c r="K155" s="556"/>
      <c r="L155" s="556"/>
      <c r="M155" s="556"/>
      <c r="N155" s="556"/>
      <c r="O155" s="556"/>
      <c r="P155" s="556"/>
      <c r="Q155" s="557"/>
      <c r="R155" s="558"/>
      <c r="S155" s="559">
        <f t="shared" si="5"/>
        <v>-9870967.741935486</v>
      </c>
      <c r="T155" s="560">
        <f t="shared" si="6"/>
        <v>-1</v>
      </c>
      <c r="U155" s="559">
        <f t="shared" si="7"/>
        <v>0</v>
      </c>
      <c r="V155" s="559">
        <f t="shared" si="8"/>
        <v>-45900</v>
      </c>
      <c r="W155" s="560">
        <f t="shared" si="9"/>
        <v>-1</v>
      </c>
      <c r="X155" s="560"/>
    </row>
    <row r="156" spans="1:24" ht="13.8" thickTop="1" x14ac:dyDescent="0.25">
      <c r="A156" s="472"/>
      <c r="B156" s="554"/>
      <c r="C156" s="480"/>
      <c r="D156" s="499"/>
      <c r="E156" s="485"/>
      <c r="F156" s="497"/>
      <c r="G156" s="497"/>
      <c r="H156" s="556"/>
      <c r="I156" s="556"/>
      <c r="J156" s="556"/>
      <c r="K156" s="556"/>
      <c r="L156" s="556"/>
      <c r="M156" s="556"/>
      <c r="N156" s="556"/>
      <c r="O156" s="556"/>
      <c r="P156" s="556"/>
      <c r="Q156" s="557"/>
      <c r="R156" s="601"/>
      <c r="S156" s="523"/>
      <c r="T156" s="524"/>
      <c r="U156" s="523"/>
      <c r="V156" s="523"/>
      <c r="W156" s="524"/>
      <c r="X156" s="524"/>
    </row>
    <row r="157" spans="1:24" x14ac:dyDescent="0.25">
      <c r="A157" s="505">
        <v>5</v>
      </c>
      <c r="B157" s="506" t="s">
        <v>117</v>
      </c>
      <c r="C157" s="507"/>
      <c r="D157" s="508"/>
      <c r="E157" s="509"/>
      <c r="F157" s="509"/>
      <c r="G157" s="561"/>
      <c r="H157" s="502"/>
      <c r="I157" s="502"/>
      <c r="J157" s="502"/>
      <c r="K157" s="502"/>
      <c r="L157" s="502"/>
      <c r="M157" s="502"/>
      <c r="N157" s="502"/>
      <c r="O157" s="502"/>
      <c r="P157" s="502"/>
      <c r="Q157" s="545"/>
      <c r="R157" s="562"/>
      <c r="S157" s="563"/>
      <c r="T157" s="564"/>
      <c r="U157" s="563"/>
      <c r="V157" s="563"/>
      <c r="W157" s="564"/>
      <c r="X157" s="564"/>
    </row>
    <row r="158" spans="1:24" x14ac:dyDescent="0.25">
      <c r="A158" s="448" t="s">
        <v>681</v>
      </c>
      <c r="B158" s="590" t="s">
        <v>11</v>
      </c>
      <c r="C158" s="515"/>
      <c r="D158" s="516"/>
      <c r="E158" s="517"/>
      <c r="F158" s="530">
        <f>D158*E158</f>
        <v>0</v>
      </c>
      <c r="G158" s="538">
        <f>F158*C4</f>
        <v>0</v>
      </c>
      <c r="H158" s="512"/>
      <c r="I158" s="512"/>
      <c r="J158" s="512"/>
      <c r="K158" s="512"/>
      <c r="L158" s="512"/>
      <c r="M158" s="512"/>
      <c r="N158" s="512"/>
      <c r="O158" s="512"/>
      <c r="P158" s="512"/>
      <c r="Q158" s="526"/>
      <c r="R158" s="531"/>
      <c r="S158" s="523">
        <f t="shared" si="5"/>
        <v>0</v>
      </c>
      <c r="T158" s="524">
        <f t="shared" si="6"/>
        <v>0</v>
      </c>
      <c r="U158" s="523">
        <f t="shared" si="7"/>
        <v>0</v>
      </c>
      <c r="V158" s="523">
        <f t="shared" si="8"/>
        <v>0</v>
      </c>
      <c r="W158" s="524">
        <f t="shared" si="9"/>
        <v>0</v>
      </c>
      <c r="X158" s="524"/>
    </row>
    <row r="159" spans="1:24" x14ac:dyDescent="0.25">
      <c r="A159" s="448" t="s">
        <v>682</v>
      </c>
      <c r="B159" s="590" t="s">
        <v>12</v>
      </c>
      <c r="C159" s="515" t="s">
        <v>426</v>
      </c>
      <c r="D159" s="516">
        <v>1</v>
      </c>
      <c r="E159" s="517">
        <f>200/0.00465</f>
        <v>43010.752688172048</v>
      </c>
      <c r="F159" s="530">
        <f>D159*E159</f>
        <v>43010.752688172048</v>
      </c>
      <c r="G159" s="538">
        <f>F159*C4</f>
        <v>200</v>
      </c>
      <c r="H159" s="512"/>
      <c r="I159" s="512"/>
      <c r="J159" s="512"/>
      <c r="K159" s="512"/>
      <c r="L159" s="512"/>
      <c r="M159" s="512"/>
      <c r="N159" s="512"/>
      <c r="O159" s="512"/>
      <c r="P159" s="512"/>
      <c r="Q159" s="526"/>
      <c r="R159" s="531"/>
      <c r="S159" s="523">
        <f t="shared" si="5"/>
        <v>-43010.752688172048</v>
      </c>
      <c r="T159" s="524">
        <f t="shared" si="6"/>
        <v>-1</v>
      </c>
      <c r="U159" s="523">
        <f t="shared" si="7"/>
        <v>0</v>
      </c>
      <c r="V159" s="523">
        <f t="shared" si="8"/>
        <v>-200</v>
      </c>
      <c r="W159" s="524">
        <f t="shared" si="9"/>
        <v>-1</v>
      </c>
      <c r="X159" s="524"/>
    </row>
    <row r="160" spans="1:24" x14ac:dyDescent="0.25">
      <c r="A160" s="448" t="s">
        <v>683</v>
      </c>
      <c r="B160" s="590" t="s">
        <v>13</v>
      </c>
      <c r="C160" s="515"/>
      <c r="D160" s="516"/>
      <c r="E160" s="517"/>
      <c r="F160" s="530">
        <f>D160*E160</f>
        <v>0</v>
      </c>
      <c r="G160" s="538">
        <f>F160*C4</f>
        <v>0</v>
      </c>
      <c r="H160" s="512"/>
      <c r="I160" s="512"/>
      <c r="J160" s="512"/>
      <c r="K160" s="512"/>
      <c r="L160" s="512"/>
      <c r="M160" s="512"/>
      <c r="N160" s="512"/>
      <c r="O160" s="512"/>
      <c r="P160" s="512"/>
      <c r="Q160" s="526"/>
      <c r="R160" s="531"/>
      <c r="S160" s="523">
        <f t="shared" si="5"/>
        <v>0</v>
      </c>
      <c r="T160" s="524">
        <f t="shared" si="6"/>
        <v>0</v>
      </c>
      <c r="U160" s="523">
        <f t="shared" si="7"/>
        <v>0</v>
      </c>
      <c r="V160" s="523">
        <f t="shared" si="8"/>
        <v>0</v>
      </c>
      <c r="W160" s="524">
        <f t="shared" si="9"/>
        <v>0</v>
      </c>
      <c r="X160" s="524"/>
    </row>
    <row r="161" spans="1:24" x14ac:dyDescent="0.25">
      <c r="A161" s="448" t="s">
        <v>684</v>
      </c>
      <c r="B161" s="590" t="s">
        <v>14</v>
      </c>
      <c r="C161" s="515"/>
      <c r="D161" s="516"/>
      <c r="E161" s="517"/>
      <c r="F161" s="530">
        <f>D161*E161</f>
        <v>0</v>
      </c>
      <c r="G161" s="538">
        <f>F161*C4</f>
        <v>0</v>
      </c>
      <c r="H161" s="512"/>
      <c r="I161" s="512"/>
      <c r="J161" s="512"/>
      <c r="K161" s="512"/>
      <c r="L161" s="512"/>
      <c r="M161" s="512"/>
      <c r="N161" s="512"/>
      <c r="O161" s="512"/>
      <c r="P161" s="512"/>
      <c r="Q161" s="526"/>
      <c r="R161" s="531"/>
      <c r="S161" s="523">
        <f t="shared" si="5"/>
        <v>0</v>
      </c>
      <c r="T161" s="524">
        <f t="shared" si="6"/>
        <v>0</v>
      </c>
      <c r="U161" s="523">
        <f t="shared" si="7"/>
        <v>0</v>
      </c>
      <c r="V161" s="523">
        <f t="shared" si="8"/>
        <v>0</v>
      </c>
      <c r="W161" s="524">
        <f t="shared" si="9"/>
        <v>0</v>
      </c>
      <c r="X161" s="524"/>
    </row>
    <row r="162" spans="1:24" ht="26.4" x14ac:dyDescent="0.25">
      <c r="A162" s="448" t="s">
        <v>685</v>
      </c>
      <c r="B162" s="590" t="s">
        <v>60</v>
      </c>
      <c r="C162" s="515"/>
      <c r="D162" s="516"/>
      <c r="E162" s="517"/>
      <c r="F162" s="530">
        <f>D162*E162</f>
        <v>0</v>
      </c>
      <c r="G162" s="538">
        <f>F162*C4</f>
        <v>0</v>
      </c>
      <c r="H162" s="512"/>
      <c r="I162" s="512"/>
      <c r="J162" s="512"/>
      <c r="K162" s="512"/>
      <c r="L162" s="512"/>
      <c r="M162" s="512"/>
      <c r="N162" s="512"/>
      <c r="O162" s="512"/>
      <c r="P162" s="512"/>
      <c r="Q162" s="526"/>
      <c r="R162" s="531"/>
      <c r="S162" s="523">
        <f t="shared" si="5"/>
        <v>0</v>
      </c>
      <c r="T162" s="524">
        <f t="shared" si="6"/>
        <v>0</v>
      </c>
      <c r="U162" s="523">
        <f t="shared" si="7"/>
        <v>0</v>
      </c>
      <c r="V162" s="523">
        <f t="shared" si="8"/>
        <v>0</v>
      </c>
      <c r="W162" s="524">
        <f t="shared" si="9"/>
        <v>0</v>
      </c>
      <c r="X162" s="524"/>
    </row>
    <row r="163" spans="1:24" x14ac:dyDescent="0.25">
      <c r="B163" s="590"/>
      <c r="C163" s="602"/>
      <c r="D163" s="603"/>
      <c r="E163" s="604"/>
      <c r="F163" s="530"/>
      <c r="G163" s="538"/>
      <c r="H163" s="512"/>
      <c r="I163" s="512"/>
      <c r="J163" s="512"/>
      <c r="K163" s="512"/>
      <c r="L163" s="512"/>
      <c r="M163" s="512"/>
      <c r="N163" s="512"/>
      <c r="O163" s="512"/>
      <c r="P163" s="512"/>
      <c r="Q163" s="526"/>
      <c r="R163" s="539"/>
      <c r="S163" s="523"/>
      <c r="T163" s="524"/>
      <c r="U163" s="523"/>
      <c r="V163" s="523"/>
      <c r="W163" s="524"/>
      <c r="X163" s="524"/>
    </row>
    <row r="164" spans="1:24" ht="13.8" thickBot="1" x14ac:dyDescent="0.3">
      <c r="A164" s="472"/>
      <c r="B164" s="554" t="s">
        <v>118</v>
      </c>
      <c r="C164" s="480"/>
      <c r="D164" s="499"/>
      <c r="E164" s="485"/>
      <c r="F164" s="555">
        <f>SUM(F158:F162)</f>
        <v>43010.752688172048</v>
      </c>
      <c r="G164" s="555">
        <f>SUM(G158:G162)</f>
        <v>200</v>
      </c>
      <c r="H164" s="556"/>
      <c r="I164" s="556"/>
      <c r="J164" s="556"/>
      <c r="K164" s="556"/>
      <c r="L164" s="556"/>
      <c r="M164" s="556"/>
      <c r="N164" s="556"/>
      <c r="O164" s="556"/>
      <c r="P164" s="556"/>
      <c r="Q164" s="557"/>
      <c r="R164" s="558"/>
      <c r="S164" s="559">
        <f t="shared" si="5"/>
        <v>-43010.752688172048</v>
      </c>
      <c r="T164" s="560">
        <f t="shared" si="6"/>
        <v>-1</v>
      </c>
      <c r="U164" s="559">
        <f t="shared" si="7"/>
        <v>0</v>
      </c>
      <c r="V164" s="559">
        <f t="shared" si="8"/>
        <v>-200</v>
      </c>
      <c r="W164" s="560">
        <f t="shared" si="9"/>
        <v>-1</v>
      </c>
      <c r="X164" s="560"/>
    </row>
    <row r="165" spans="1:24" ht="13.8" thickTop="1" x14ac:dyDescent="0.25">
      <c r="B165" s="590"/>
      <c r="F165" s="530"/>
      <c r="G165" s="538"/>
      <c r="H165" s="512"/>
      <c r="I165" s="512"/>
      <c r="J165" s="512"/>
      <c r="K165" s="512"/>
      <c r="L165" s="512"/>
      <c r="M165" s="512"/>
      <c r="N165" s="512"/>
      <c r="O165" s="512"/>
      <c r="P165" s="512"/>
      <c r="Q165" s="526"/>
      <c r="R165" s="539"/>
      <c r="S165" s="523"/>
      <c r="T165" s="524"/>
      <c r="U165" s="523"/>
      <c r="V165" s="523"/>
      <c r="W165" s="524"/>
      <c r="X165" s="524"/>
    </row>
    <row r="166" spans="1:24" x14ac:dyDescent="0.25">
      <c r="A166" s="505">
        <v>6</v>
      </c>
      <c r="B166" s="506" t="s">
        <v>119</v>
      </c>
      <c r="C166" s="507"/>
      <c r="D166" s="508"/>
      <c r="E166" s="509"/>
      <c r="F166" s="509"/>
      <c r="G166" s="561"/>
      <c r="H166" s="502"/>
      <c r="I166" s="502"/>
      <c r="J166" s="502"/>
      <c r="K166" s="502"/>
      <c r="L166" s="502"/>
      <c r="M166" s="502"/>
      <c r="N166" s="502"/>
      <c r="O166" s="502"/>
      <c r="P166" s="502"/>
      <c r="Q166" s="545"/>
      <c r="R166" s="562"/>
      <c r="S166" s="563"/>
      <c r="T166" s="564"/>
      <c r="U166" s="563"/>
      <c r="V166" s="563"/>
      <c r="W166" s="564"/>
      <c r="X166" s="564"/>
    </row>
    <row r="167" spans="1:24" x14ac:dyDescent="0.25">
      <c r="A167" s="472" t="s">
        <v>120</v>
      </c>
      <c r="B167" s="472" t="s">
        <v>77</v>
      </c>
      <c r="C167" s="480"/>
      <c r="D167" s="499"/>
      <c r="E167" s="485"/>
      <c r="F167" s="477"/>
      <c r="G167" s="489"/>
      <c r="H167" s="512"/>
      <c r="I167" s="512"/>
      <c r="J167" s="512"/>
      <c r="K167" s="512"/>
      <c r="L167" s="512"/>
      <c r="M167" s="512"/>
      <c r="N167" s="512"/>
      <c r="O167" s="512"/>
      <c r="P167" s="512"/>
      <c r="Q167" s="526"/>
      <c r="R167" s="527"/>
      <c r="S167" s="523"/>
      <c r="T167" s="524"/>
      <c r="U167" s="523"/>
      <c r="V167" s="523"/>
      <c r="W167" s="524"/>
      <c r="X167" s="524"/>
    </row>
    <row r="168" spans="1:24" x14ac:dyDescent="0.25">
      <c r="A168" s="486" t="s">
        <v>121</v>
      </c>
      <c r="B168" s="605" t="s">
        <v>78</v>
      </c>
      <c r="C168" s="515" t="s">
        <v>432</v>
      </c>
      <c r="D168" s="516">
        <v>12</v>
      </c>
      <c r="E168" s="517">
        <f>100/0.00465</f>
        <v>21505.376344086024</v>
      </c>
      <c r="F168" s="477">
        <f>D168*E168</f>
        <v>258064.5161290323</v>
      </c>
      <c r="G168" s="489">
        <f>F168*C4</f>
        <v>1200</v>
      </c>
      <c r="H168" s="512"/>
      <c r="I168" s="512"/>
      <c r="J168" s="512"/>
      <c r="K168" s="512"/>
      <c r="L168" s="512"/>
      <c r="M168" s="512"/>
      <c r="N168" s="512"/>
      <c r="O168" s="512"/>
      <c r="P168" s="512"/>
      <c r="Q168" s="526"/>
      <c r="R168" s="531"/>
      <c r="S168" s="523">
        <f t="shared" si="5"/>
        <v>-258064.5161290323</v>
      </c>
      <c r="T168" s="524">
        <f t="shared" si="6"/>
        <v>-1</v>
      </c>
      <c r="U168" s="523">
        <f t="shared" si="7"/>
        <v>0</v>
      </c>
      <c r="V168" s="523">
        <f t="shared" si="8"/>
        <v>-1200</v>
      </c>
      <c r="W168" s="524">
        <f t="shared" si="9"/>
        <v>-1</v>
      </c>
      <c r="X168" s="524"/>
    </row>
    <row r="169" spans="1:24" x14ac:dyDescent="0.25">
      <c r="A169" s="486" t="s">
        <v>122</v>
      </c>
      <c r="B169" s="605" t="s">
        <v>79</v>
      </c>
      <c r="C169" s="515" t="s">
        <v>432</v>
      </c>
      <c r="D169" s="516">
        <v>12</v>
      </c>
      <c r="E169" s="517">
        <f>100/0.00465</f>
        <v>21505.376344086024</v>
      </c>
      <c r="F169" s="477">
        <f>D169*E169</f>
        <v>258064.5161290323</v>
      </c>
      <c r="G169" s="489">
        <f>F169*C4</f>
        <v>1200</v>
      </c>
      <c r="H169" s="512"/>
      <c r="I169" s="512"/>
      <c r="J169" s="512"/>
      <c r="K169" s="512"/>
      <c r="L169" s="512"/>
      <c r="M169" s="512"/>
      <c r="N169" s="512"/>
      <c r="O169" s="512"/>
      <c r="P169" s="512"/>
      <c r="Q169" s="526"/>
      <c r="R169" s="531"/>
      <c r="S169" s="523">
        <f t="shared" si="5"/>
        <v>-258064.5161290323</v>
      </c>
      <c r="T169" s="524">
        <f t="shared" si="6"/>
        <v>-1</v>
      </c>
      <c r="U169" s="523">
        <f t="shared" si="7"/>
        <v>0</v>
      </c>
      <c r="V169" s="523">
        <f t="shared" si="8"/>
        <v>-1200</v>
      </c>
      <c r="W169" s="524">
        <f t="shared" si="9"/>
        <v>-1</v>
      </c>
      <c r="X169" s="524"/>
    </row>
    <row r="170" spans="1:24" x14ac:dyDescent="0.25">
      <c r="A170" s="486" t="s">
        <v>123</v>
      </c>
      <c r="B170" s="605" t="s">
        <v>80</v>
      </c>
      <c r="C170" s="515" t="s">
        <v>686</v>
      </c>
      <c r="D170" s="516">
        <v>1</v>
      </c>
      <c r="E170" s="517">
        <f>500/0.00465</f>
        <v>107526.88172043012</v>
      </c>
      <c r="F170" s="477">
        <f>D170*E170</f>
        <v>107526.88172043012</v>
      </c>
      <c r="G170" s="489">
        <f>F170*C4</f>
        <v>500</v>
      </c>
      <c r="H170" s="512"/>
      <c r="I170" s="512"/>
      <c r="J170" s="512"/>
      <c r="K170" s="512"/>
      <c r="L170" s="512"/>
      <c r="M170" s="512"/>
      <c r="N170" s="512"/>
      <c r="O170" s="512"/>
      <c r="P170" s="512"/>
      <c r="Q170" s="526"/>
      <c r="R170" s="531"/>
      <c r="S170" s="523">
        <f t="shared" si="5"/>
        <v>-107526.88172043012</v>
      </c>
      <c r="T170" s="524">
        <f t="shared" si="6"/>
        <v>-1</v>
      </c>
      <c r="U170" s="523">
        <f t="shared" si="7"/>
        <v>0</v>
      </c>
      <c r="V170" s="523">
        <f t="shared" si="8"/>
        <v>-500</v>
      </c>
      <c r="W170" s="524">
        <f t="shared" si="9"/>
        <v>-1</v>
      </c>
      <c r="X170" s="524"/>
    </row>
    <row r="171" spans="1:24" x14ac:dyDescent="0.25">
      <c r="A171" s="486" t="s">
        <v>124</v>
      </c>
      <c r="B171" s="605" t="s">
        <v>81</v>
      </c>
      <c r="C171" s="515" t="s">
        <v>686</v>
      </c>
      <c r="D171" s="516">
        <v>1</v>
      </c>
      <c r="E171" s="517">
        <f>500/0.00465</f>
        <v>107526.88172043012</v>
      </c>
      <c r="F171" s="477">
        <f>D171*E171</f>
        <v>107526.88172043012</v>
      </c>
      <c r="G171" s="489">
        <f>F171*C4</f>
        <v>500</v>
      </c>
      <c r="H171" s="512"/>
      <c r="I171" s="512"/>
      <c r="J171" s="512"/>
      <c r="K171" s="512"/>
      <c r="L171" s="512"/>
      <c r="M171" s="512"/>
      <c r="N171" s="512"/>
      <c r="O171" s="512"/>
      <c r="P171" s="512"/>
      <c r="Q171" s="526"/>
      <c r="R171" s="531"/>
      <c r="S171" s="523">
        <f t="shared" si="5"/>
        <v>-107526.88172043012</v>
      </c>
      <c r="T171" s="524">
        <f t="shared" si="6"/>
        <v>-1</v>
      </c>
      <c r="U171" s="523">
        <f t="shared" si="7"/>
        <v>0</v>
      </c>
      <c r="V171" s="523">
        <f t="shared" si="8"/>
        <v>-500</v>
      </c>
      <c r="W171" s="524">
        <f t="shared" si="9"/>
        <v>-1</v>
      </c>
      <c r="X171" s="524"/>
    </row>
    <row r="172" spans="1:24" x14ac:dyDescent="0.25">
      <c r="A172" s="472"/>
      <c r="B172" s="605"/>
      <c r="C172" s="535"/>
      <c r="D172" s="536"/>
      <c r="E172" s="537"/>
      <c r="F172" s="477"/>
      <c r="G172" s="489"/>
      <c r="H172" s="512"/>
      <c r="I172" s="512"/>
      <c r="J172" s="512"/>
      <c r="K172" s="512"/>
      <c r="L172" s="512"/>
      <c r="M172" s="512"/>
      <c r="N172" s="512"/>
      <c r="O172" s="512"/>
      <c r="P172" s="512"/>
      <c r="Q172" s="526"/>
      <c r="R172" s="527"/>
      <c r="S172" s="523"/>
      <c r="T172" s="524"/>
      <c r="U172" s="523"/>
      <c r="V172" s="523"/>
      <c r="W172" s="524"/>
      <c r="X172" s="524"/>
    </row>
    <row r="173" spans="1:24" ht="13.8" thickBot="1" x14ac:dyDescent="0.3">
      <c r="A173" s="472"/>
      <c r="B173" s="554" t="s">
        <v>82</v>
      </c>
      <c r="C173" s="480"/>
      <c r="D173" s="499"/>
      <c r="E173" s="485"/>
      <c r="F173" s="555">
        <f>SUM(F168:F171)</f>
        <v>731182.79569892481</v>
      </c>
      <c r="G173" s="555">
        <f>SUM(G168:G171)</f>
        <v>3400</v>
      </c>
      <c r="H173" s="556"/>
      <c r="I173" s="556"/>
      <c r="J173" s="556"/>
      <c r="K173" s="556"/>
      <c r="L173" s="556"/>
      <c r="M173" s="556"/>
      <c r="N173" s="556"/>
      <c r="O173" s="556"/>
      <c r="P173" s="556"/>
      <c r="Q173" s="557"/>
      <c r="R173" s="558"/>
      <c r="S173" s="559">
        <f t="shared" si="5"/>
        <v>-731182.79569892481</v>
      </c>
      <c r="T173" s="560">
        <f t="shared" si="6"/>
        <v>-1</v>
      </c>
      <c r="U173" s="559">
        <f t="shared" si="7"/>
        <v>0</v>
      </c>
      <c r="V173" s="559">
        <f t="shared" si="8"/>
        <v>-3400</v>
      </c>
      <c r="W173" s="560">
        <f t="shared" si="9"/>
        <v>-1</v>
      </c>
      <c r="X173" s="560"/>
    </row>
    <row r="174" spans="1:24" ht="13.8" thickTop="1" x14ac:dyDescent="0.25">
      <c r="B174" s="606"/>
      <c r="F174" s="607"/>
      <c r="G174" s="538"/>
      <c r="H174" s="512"/>
      <c r="I174" s="512"/>
      <c r="J174" s="512"/>
      <c r="K174" s="512"/>
      <c r="L174" s="512"/>
      <c r="M174" s="512"/>
      <c r="N174" s="512"/>
      <c r="O174" s="512"/>
      <c r="P174" s="512"/>
      <c r="Q174" s="526"/>
      <c r="R174" s="539"/>
      <c r="S174" s="523"/>
      <c r="T174" s="524"/>
      <c r="U174" s="523"/>
      <c r="V174" s="523"/>
      <c r="W174" s="524"/>
      <c r="X174" s="524"/>
    </row>
    <row r="175" spans="1:24" x14ac:dyDescent="0.25">
      <c r="A175" s="472" t="s">
        <v>125</v>
      </c>
      <c r="B175" s="472" t="s">
        <v>198</v>
      </c>
      <c r="C175" s="480"/>
      <c r="D175" s="499"/>
      <c r="E175" s="485"/>
      <c r="F175" s="477"/>
      <c r="G175" s="489"/>
      <c r="H175" s="512"/>
      <c r="I175" s="512"/>
      <c r="J175" s="512"/>
      <c r="K175" s="512"/>
      <c r="L175" s="512"/>
      <c r="M175" s="512"/>
      <c r="N175" s="512"/>
      <c r="O175" s="512"/>
      <c r="P175" s="512"/>
      <c r="Q175" s="526"/>
      <c r="R175" s="527"/>
      <c r="S175" s="523"/>
      <c r="T175" s="524"/>
      <c r="U175" s="523"/>
      <c r="V175" s="523"/>
      <c r="W175" s="524"/>
      <c r="X175" s="524"/>
    </row>
    <row r="176" spans="1:24" x14ac:dyDescent="0.25">
      <c r="A176" s="486" t="s">
        <v>126</v>
      </c>
      <c r="B176" s="605" t="s">
        <v>135</v>
      </c>
      <c r="C176" s="831"/>
      <c r="D176" s="516"/>
      <c r="E176" s="517"/>
      <c r="F176" s="477">
        <f>D176*E176</f>
        <v>0</v>
      </c>
      <c r="G176" s="489">
        <f>F176*C4</f>
        <v>0</v>
      </c>
      <c r="H176" s="512"/>
      <c r="I176" s="512"/>
      <c r="J176" s="512"/>
      <c r="K176" s="512"/>
      <c r="L176" s="512"/>
      <c r="M176" s="512"/>
      <c r="N176" s="512"/>
      <c r="O176" s="512"/>
      <c r="P176" s="512"/>
      <c r="Q176" s="526"/>
      <c r="R176" s="531"/>
      <c r="S176" s="523">
        <f t="shared" si="5"/>
        <v>0</v>
      </c>
      <c r="T176" s="524">
        <f t="shared" si="6"/>
        <v>0</v>
      </c>
      <c r="U176" s="523">
        <f t="shared" si="7"/>
        <v>0</v>
      </c>
      <c r="V176" s="523">
        <f t="shared" si="8"/>
        <v>0</v>
      </c>
      <c r="W176" s="524">
        <f t="shared" si="9"/>
        <v>0</v>
      </c>
      <c r="X176" s="524"/>
    </row>
    <row r="177" spans="1:25" ht="39.6" x14ac:dyDescent="0.25">
      <c r="A177" s="486" t="s">
        <v>127</v>
      </c>
      <c r="B177" s="605" t="s">
        <v>136</v>
      </c>
      <c r="C177" s="831" t="s">
        <v>933</v>
      </c>
      <c r="D177" s="516">
        <v>1</v>
      </c>
      <c r="E177" s="517">
        <v>215054</v>
      </c>
      <c r="F177" s="477">
        <f>D177*E177</f>
        <v>215054</v>
      </c>
      <c r="G177" s="489">
        <f>F177*C4</f>
        <v>1000.0011</v>
      </c>
      <c r="H177" s="512"/>
      <c r="I177" s="512"/>
      <c r="J177" s="512"/>
      <c r="K177" s="512"/>
      <c r="L177" s="512"/>
      <c r="M177" s="512"/>
      <c r="N177" s="512"/>
      <c r="O177" s="512"/>
      <c r="P177" s="512"/>
      <c r="Q177" s="526"/>
      <c r="R177" s="531"/>
      <c r="S177" s="523">
        <f t="shared" si="5"/>
        <v>-215054</v>
      </c>
      <c r="T177" s="524">
        <f t="shared" si="6"/>
        <v>-1</v>
      </c>
      <c r="U177" s="523">
        <f t="shared" si="7"/>
        <v>0</v>
      </c>
      <c r="V177" s="523">
        <f t="shared" si="8"/>
        <v>-1000.0011</v>
      </c>
      <c r="W177" s="524">
        <f t="shared" si="9"/>
        <v>-1</v>
      </c>
      <c r="X177" s="524"/>
      <c r="Y177" s="832" t="s">
        <v>934</v>
      </c>
    </row>
    <row r="178" spans="1:25" x14ac:dyDescent="0.25">
      <c r="A178" s="486" t="s">
        <v>128</v>
      </c>
      <c r="B178" s="605" t="s">
        <v>134</v>
      </c>
      <c r="C178" s="515"/>
      <c r="D178" s="516"/>
      <c r="E178" s="517"/>
      <c r="F178" s="477">
        <f>D178*E178</f>
        <v>0</v>
      </c>
      <c r="G178" s="489">
        <f>F178*C4</f>
        <v>0</v>
      </c>
      <c r="H178" s="512"/>
      <c r="I178" s="512"/>
      <c r="J178" s="512"/>
      <c r="K178" s="512"/>
      <c r="L178" s="512"/>
      <c r="M178" s="512"/>
      <c r="N178" s="512"/>
      <c r="O178" s="512"/>
      <c r="P178" s="512"/>
      <c r="Q178" s="526"/>
      <c r="R178" s="531"/>
      <c r="S178" s="523">
        <f t="shared" si="5"/>
        <v>0</v>
      </c>
      <c r="T178" s="524">
        <f t="shared" si="6"/>
        <v>0</v>
      </c>
      <c r="U178" s="523">
        <f t="shared" si="7"/>
        <v>0</v>
      </c>
      <c r="V178" s="523">
        <f t="shared" si="8"/>
        <v>0</v>
      </c>
      <c r="W178" s="524">
        <f t="shared" si="9"/>
        <v>0</v>
      </c>
      <c r="X178" s="524"/>
      <c r="Y178" s="591"/>
    </row>
    <row r="179" spans="1:25" ht="79.2" x14ac:dyDescent="0.25">
      <c r="A179" s="486" t="s">
        <v>129</v>
      </c>
      <c r="B179" s="605" t="s">
        <v>137</v>
      </c>
      <c r="C179" s="515" t="s">
        <v>687</v>
      </c>
      <c r="D179" s="516">
        <v>4</v>
      </c>
      <c r="E179" s="517">
        <f>1000/0.00465</f>
        <v>215053.76344086023</v>
      </c>
      <c r="F179" s="477">
        <f>D179*E179</f>
        <v>860215.05376344093</v>
      </c>
      <c r="G179" s="489">
        <f>F179*C4</f>
        <v>4000</v>
      </c>
      <c r="H179" s="512"/>
      <c r="I179" s="512"/>
      <c r="J179" s="512"/>
      <c r="K179" s="512"/>
      <c r="L179" s="512"/>
      <c r="M179" s="512"/>
      <c r="N179" s="512"/>
      <c r="O179" s="512"/>
      <c r="P179" s="512"/>
      <c r="Q179" s="526"/>
      <c r="R179" s="531"/>
      <c r="S179" s="523">
        <f t="shared" si="5"/>
        <v>-860215.05376344093</v>
      </c>
      <c r="T179" s="524">
        <f t="shared" si="6"/>
        <v>-1</v>
      </c>
      <c r="U179" s="523">
        <f t="shared" si="7"/>
        <v>0</v>
      </c>
      <c r="V179" s="523">
        <f t="shared" si="8"/>
        <v>-4000</v>
      </c>
      <c r="W179" s="524">
        <f t="shared" si="9"/>
        <v>-1</v>
      </c>
      <c r="X179" s="524"/>
      <c r="Y179" s="832" t="s">
        <v>935</v>
      </c>
    </row>
    <row r="180" spans="1:25" x14ac:dyDescent="0.25">
      <c r="A180" s="472" t="s">
        <v>319</v>
      </c>
      <c r="B180" s="828" t="s">
        <v>929</v>
      </c>
      <c r="C180" s="515" t="s">
        <v>687</v>
      </c>
      <c r="D180" s="516">
        <v>1</v>
      </c>
      <c r="E180" s="517">
        <f>1000/0.00465</f>
        <v>215053.76344086023</v>
      </c>
      <c r="F180" s="477">
        <f>D180*E180</f>
        <v>215053.76344086023</v>
      </c>
      <c r="G180" s="489">
        <f>F180*C4</f>
        <v>1000</v>
      </c>
      <c r="H180" s="512"/>
      <c r="I180" s="512"/>
      <c r="J180" s="512"/>
      <c r="K180" s="512"/>
      <c r="L180" s="512"/>
      <c r="M180" s="512"/>
      <c r="N180" s="512"/>
      <c r="O180" s="512"/>
      <c r="P180" s="512"/>
      <c r="Q180" s="526"/>
      <c r="R180" s="527"/>
      <c r="S180" s="523"/>
      <c r="T180" s="524"/>
      <c r="U180" s="523"/>
      <c r="V180" s="523"/>
      <c r="W180" s="524"/>
      <c r="X180" s="524"/>
      <c r="Y180" s="591"/>
    </row>
    <row r="181" spans="1:25" ht="13.8" thickBot="1" x14ac:dyDescent="0.3">
      <c r="A181" s="472"/>
      <c r="B181" s="554" t="s">
        <v>199</v>
      </c>
      <c r="C181" s="480"/>
      <c r="D181" s="499"/>
      <c r="E181" s="485"/>
      <c r="F181" s="555">
        <f>SUM(F176:F180)</f>
        <v>1290322.817204301</v>
      </c>
      <c r="G181" s="555">
        <f>SUM(G176:G180)</f>
        <v>6000.0010999999995</v>
      </c>
      <c r="H181" s="556"/>
      <c r="I181" s="556"/>
      <c r="J181" s="556"/>
      <c r="K181" s="556"/>
      <c r="L181" s="556"/>
      <c r="M181" s="556"/>
      <c r="N181" s="556"/>
      <c r="O181" s="556"/>
      <c r="P181" s="556"/>
      <c r="Q181" s="557"/>
      <c r="R181" s="558"/>
      <c r="S181" s="559">
        <f t="shared" si="5"/>
        <v>-1290322.817204301</v>
      </c>
      <c r="T181" s="560">
        <f t="shared" si="6"/>
        <v>-1</v>
      </c>
      <c r="U181" s="559">
        <f t="shared" si="7"/>
        <v>0</v>
      </c>
      <c r="V181" s="559">
        <f t="shared" si="8"/>
        <v>-6000.0010999999995</v>
      </c>
      <c r="W181" s="560">
        <f t="shared" si="9"/>
        <v>-1</v>
      </c>
      <c r="X181" s="560"/>
    </row>
    <row r="182" spans="1:25" ht="13.8" thickTop="1" x14ac:dyDescent="0.25">
      <c r="B182" s="606"/>
      <c r="F182" s="607"/>
      <c r="G182" s="538"/>
      <c r="H182" s="512"/>
      <c r="I182" s="512"/>
      <c r="J182" s="512"/>
      <c r="K182" s="512"/>
      <c r="L182" s="512"/>
      <c r="M182" s="512"/>
      <c r="N182" s="512"/>
      <c r="O182" s="512"/>
      <c r="P182" s="512"/>
      <c r="Q182" s="526"/>
      <c r="R182" s="539"/>
      <c r="S182" s="523"/>
      <c r="T182" s="524"/>
      <c r="U182" s="523"/>
      <c r="V182" s="523"/>
      <c r="W182" s="524"/>
      <c r="X182" s="524"/>
    </row>
    <row r="183" spans="1:25" x14ac:dyDescent="0.25">
      <c r="A183" s="472" t="s">
        <v>163</v>
      </c>
      <c r="B183" s="472" t="s">
        <v>162</v>
      </c>
      <c r="C183" s="480"/>
      <c r="D183" s="499"/>
      <c r="E183" s="485"/>
      <c r="F183" s="477"/>
      <c r="G183" s="489"/>
      <c r="H183" s="512"/>
      <c r="I183" s="512"/>
      <c r="J183" s="512"/>
      <c r="K183" s="512"/>
      <c r="L183" s="512"/>
      <c r="M183" s="512"/>
      <c r="N183" s="512"/>
      <c r="O183" s="512"/>
      <c r="P183" s="512"/>
      <c r="Q183" s="526"/>
      <c r="R183" s="527"/>
      <c r="S183" s="523"/>
      <c r="T183" s="524"/>
      <c r="U183" s="523"/>
      <c r="V183" s="523"/>
      <c r="W183" s="524"/>
      <c r="X183" s="524"/>
    </row>
    <row r="184" spans="1:25" x14ac:dyDescent="0.25">
      <c r="A184" s="486" t="s">
        <v>168</v>
      </c>
      <c r="B184" s="605" t="s">
        <v>307</v>
      </c>
      <c r="C184" s="515" t="s">
        <v>687</v>
      </c>
      <c r="D184" s="516">
        <v>4</v>
      </c>
      <c r="E184" s="517">
        <f>1000/0.00465</f>
        <v>215053.76344086023</v>
      </c>
      <c r="F184" s="477">
        <f>D184*E184</f>
        <v>860215.05376344093</v>
      </c>
      <c r="G184" s="489">
        <f>F184*C4</f>
        <v>4000</v>
      </c>
      <c r="H184" s="512"/>
      <c r="I184" s="512"/>
      <c r="J184" s="512"/>
      <c r="K184" s="512"/>
      <c r="L184" s="512"/>
      <c r="M184" s="512"/>
      <c r="N184" s="512"/>
      <c r="O184" s="512"/>
      <c r="P184" s="512"/>
      <c r="Q184" s="526"/>
      <c r="R184" s="531"/>
      <c r="S184" s="523">
        <f t="shared" si="5"/>
        <v>-860215.05376344093</v>
      </c>
      <c r="T184" s="524">
        <f t="shared" si="6"/>
        <v>-1</v>
      </c>
      <c r="U184" s="523">
        <f t="shared" si="7"/>
        <v>0</v>
      </c>
      <c r="V184" s="523">
        <f t="shared" si="8"/>
        <v>-4000</v>
      </c>
      <c r="W184" s="524">
        <f t="shared" si="9"/>
        <v>-1</v>
      </c>
      <c r="X184" s="524"/>
    </row>
    <row r="185" spans="1:25" x14ac:dyDescent="0.25">
      <c r="A185" s="486" t="s">
        <v>169</v>
      </c>
      <c r="B185" s="605" t="s">
        <v>165</v>
      </c>
      <c r="C185" s="515"/>
      <c r="D185" s="516"/>
      <c r="E185" s="517"/>
      <c r="F185" s="477">
        <f>D185*E185</f>
        <v>0</v>
      </c>
      <c r="G185" s="489">
        <f>F185*C4</f>
        <v>0</v>
      </c>
      <c r="H185" s="512"/>
      <c r="I185" s="512"/>
      <c r="J185" s="512"/>
      <c r="K185" s="512"/>
      <c r="L185" s="512"/>
      <c r="M185" s="512"/>
      <c r="N185" s="512"/>
      <c r="O185" s="512"/>
      <c r="P185" s="512"/>
      <c r="Q185" s="526"/>
      <c r="R185" s="531"/>
      <c r="S185" s="523">
        <f t="shared" si="5"/>
        <v>0</v>
      </c>
      <c r="T185" s="524">
        <f t="shared" si="6"/>
        <v>0</v>
      </c>
      <c r="U185" s="523">
        <f t="shared" si="7"/>
        <v>0</v>
      </c>
      <c r="V185" s="523">
        <f t="shared" si="8"/>
        <v>0</v>
      </c>
      <c r="W185" s="524">
        <f t="shared" si="9"/>
        <v>0</v>
      </c>
      <c r="X185" s="524"/>
    </row>
    <row r="186" spans="1:25" x14ac:dyDescent="0.25">
      <c r="A186" s="486" t="s">
        <v>170</v>
      </c>
      <c r="B186" s="605" t="s">
        <v>166</v>
      </c>
      <c r="C186" s="515"/>
      <c r="D186" s="516"/>
      <c r="E186" s="517"/>
      <c r="F186" s="477">
        <f>D186*E186</f>
        <v>0</v>
      </c>
      <c r="G186" s="489">
        <f>F186*C4</f>
        <v>0</v>
      </c>
      <c r="H186" s="512"/>
      <c r="I186" s="512"/>
      <c r="J186" s="512"/>
      <c r="K186" s="512"/>
      <c r="L186" s="512"/>
      <c r="M186" s="512"/>
      <c r="N186" s="512"/>
      <c r="O186" s="512"/>
      <c r="P186" s="512"/>
      <c r="Q186" s="526"/>
      <c r="R186" s="531"/>
      <c r="S186" s="523">
        <f>R186-F186</f>
        <v>0</v>
      </c>
      <c r="T186" s="524">
        <f>IF(F186=0,0,S186/F186)</f>
        <v>0</v>
      </c>
      <c r="U186" s="523" t="e">
        <f>#N/A</f>
        <v>#N/A</v>
      </c>
      <c r="V186" s="523" t="e">
        <f>U186-G186</f>
        <v>#N/A</v>
      </c>
      <c r="W186" s="524">
        <f>IF(G186=0,0,V186/G186)</f>
        <v>0</v>
      </c>
      <c r="X186" s="524"/>
    </row>
    <row r="187" spans="1:25" x14ac:dyDescent="0.25">
      <c r="A187" s="472"/>
      <c r="B187" s="605"/>
      <c r="C187" s="535"/>
      <c r="D187" s="536"/>
      <c r="E187" s="537"/>
      <c r="F187" s="477"/>
      <c r="G187" s="489"/>
      <c r="H187" s="512"/>
      <c r="I187" s="512"/>
      <c r="J187" s="512"/>
      <c r="K187" s="512"/>
      <c r="L187" s="512"/>
      <c r="M187" s="512"/>
      <c r="N187" s="512"/>
      <c r="O187" s="512"/>
      <c r="P187" s="512"/>
      <c r="Q187" s="526"/>
      <c r="R187" s="527"/>
      <c r="S187" s="559"/>
      <c r="T187" s="560"/>
      <c r="U187" s="559"/>
      <c r="V187" s="559"/>
      <c r="W187" s="560"/>
      <c r="X187" s="560"/>
    </row>
    <row r="188" spans="1:25" ht="13.8" thickBot="1" x14ac:dyDescent="0.3">
      <c r="A188" s="472"/>
      <c r="B188" s="554" t="s">
        <v>167</v>
      </c>
      <c r="C188" s="480"/>
      <c r="D188" s="499"/>
      <c r="E188" s="485"/>
      <c r="F188" s="555">
        <f>SUM(F184:F186)</f>
        <v>860215.05376344093</v>
      </c>
      <c r="G188" s="555">
        <f>SUM(G184:G186)</f>
        <v>4000</v>
      </c>
      <c r="H188" s="556"/>
      <c r="I188" s="556"/>
      <c r="J188" s="556"/>
      <c r="K188" s="556"/>
      <c r="L188" s="556"/>
      <c r="M188" s="556"/>
      <c r="N188" s="556"/>
      <c r="O188" s="556"/>
      <c r="P188" s="556"/>
      <c r="Q188" s="557"/>
      <c r="R188" s="558"/>
      <c r="S188" s="559">
        <f>R188-F188</f>
        <v>-860215.05376344093</v>
      </c>
      <c r="T188" s="560">
        <f>IF(F188=0,0,S188/F188)</f>
        <v>-1</v>
      </c>
      <c r="U188" s="559" t="e">
        <f>#N/A</f>
        <v>#N/A</v>
      </c>
      <c r="V188" s="559" t="e">
        <f>U188-G188</f>
        <v>#N/A</v>
      </c>
      <c r="W188" s="560" t="e">
        <f>IF(G188=0,0,V188/G188)</f>
        <v>#N/A</v>
      </c>
      <c r="X188" s="560"/>
    </row>
    <row r="189" spans="1:25" ht="13.8" thickTop="1" x14ac:dyDescent="0.25">
      <c r="A189" s="472"/>
      <c r="B189" s="554"/>
      <c r="C189" s="480"/>
      <c r="D189" s="499"/>
      <c r="E189" s="485"/>
      <c r="F189" s="497"/>
      <c r="G189" s="497"/>
      <c r="H189" s="556"/>
      <c r="I189" s="556"/>
      <c r="J189" s="556"/>
      <c r="K189" s="556"/>
      <c r="L189" s="556"/>
      <c r="M189" s="556"/>
      <c r="N189" s="556"/>
      <c r="O189" s="556"/>
      <c r="P189" s="556"/>
      <c r="Q189" s="557"/>
      <c r="R189" s="601"/>
      <c r="S189" s="523"/>
      <c r="T189" s="524"/>
      <c r="U189" s="523"/>
      <c r="V189" s="523"/>
      <c r="W189" s="524"/>
      <c r="X189" s="524"/>
    </row>
    <row r="190" spans="1:25" ht="13.8" thickBot="1" x14ac:dyDescent="0.3">
      <c r="A190" s="608"/>
      <c r="B190" s="609" t="s">
        <v>53</v>
      </c>
      <c r="C190" s="610"/>
      <c r="D190" s="611"/>
      <c r="E190" s="612"/>
      <c r="F190" s="613">
        <f>SUM(F98+F122+F136+F155+F164+F173+F181+F188)</f>
        <v>262008171.82795703</v>
      </c>
      <c r="G190" s="613">
        <f>SUM(G98+G122+G136+G155+G164+G173+G181+G188)</f>
        <v>1218338.0011</v>
      </c>
      <c r="H190" s="556"/>
      <c r="I190" s="556"/>
      <c r="J190" s="556"/>
      <c r="K190" s="556"/>
      <c r="L190" s="556"/>
      <c r="M190" s="556"/>
      <c r="N190" s="556"/>
      <c r="O190" s="556"/>
      <c r="P190" s="556"/>
      <c r="Q190" s="557"/>
      <c r="R190" s="558"/>
      <c r="S190" s="614">
        <f>R190-F190</f>
        <v>-262008171.82795703</v>
      </c>
      <c r="T190" s="615">
        <f>IF(F190=0,0,S190/F190)</f>
        <v>-1</v>
      </c>
      <c r="U190" s="614" t="e">
        <f>#N/A</f>
        <v>#N/A</v>
      </c>
      <c r="V190" s="614" t="e">
        <f>U190-G190</f>
        <v>#N/A</v>
      </c>
      <c r="W190" s="615" t="e">
        <f>IF(G190=0,0,V190/G190)</f>
        <v>#N/A</v>
      </c>
      <c r="X190" s="615"/>
    </row>
    <row r="191" spans="1:25" ht="13.8" thickTop="1" x14ac:dyDescent="0.25">
      <c r="B191" s="459"/>
      <c r="F191" s="530"/>
      <c r="G191" s="538"/>
      <c r="H191" s="512"/>
      <c r="I191" s="512"/>
      <c r="J191" s="512"/>
      <c r="K191" s="512"/>
      <c r="L191" s="512"/>
      <c r="M191" s="512"/>
      <c r="N191" s="512"/>
      <c r="O191" s="512"/>
      <c r="P191" s="512"/>
      <c r="Q191" s="526"/>
      <c r="R191" s="539"/>
      <c r="S191" s="523"/>
      <c r="T191" s="524"/>
      <c r="U191" s="523"/>
      <c r="V191" s="523"/>
      <c r="W191" s="524"/>
      <c r="X191" s="524"/>
    </row>
    <row r="192" spans="1:25" x14ac:dyDescent="0.25">
      <c r="A192" s="442" t="s">
        <v>61</v>
      </c>
      <c r="F192" s="530"/>
      <c r="G192" s="538"/>
      <c r="H192" s="512"/>
      <c r="I192" s="512"/>
      <c r="J192" s="512"/>
      <c r="K192" s="512"/>
      <c r="L192" s="512"/>
      <c r="M192" s="512"/>
      <c r="N192" s="512"/>
      <c r="O192" s="512"/>
      <c r="P192" s="512"/>
      <c r="Q192" s="526"/>
      <c r="R192" s="539"/>
      <c r="S192" s="523"/>
      <c r="T192" s="524"/>
      <c r="U192" s="523"/>
      <c r="V192" s="523"/>
      <c r="W192" s="524"/>
      <c r="X192" s="524"/>
    </row>
    <row r="193" spans="1:24" x14ac:dyDescent="0.25">
      <c r="A193" s="442" t="s">
        <v>18</v>
      </c>
      <c r="B193" s="616" t="s">
        <v>9</v>
      </c>
      <c r="F193" s="530"/>
      <c r="G193" s="538"/>
      <c r="H193" s="512"/>
      <c r="I193" s="512"/>
      <c r="J193" s="512"/>
      <c r="K193" s="512"/>
      <c r="L193" s="512"/>
      <c r="M193" s="512"/>
      <c r="N193" s="512"/>
      <c r="O193" s="512"/>
      <c r="P193" s="512"/>
      <c r="Q193" s="526"/>
      <c r="R193" s="539"/>
      <c r="S193" s="523"/>
      <c r="T193" s="524"/>
      <c r="U193" s="523"/>
      <c r="V193" s="523"/>
      <c r="W193" s="524"/>
      <c r="X193" s="524"/>
    </row>
    <row r="194" spans="1:24" x14ac:dyDescent="0.25">
      <c r="B194" s="591" t="s">
        <v>688</v>
      </c>
      <c r="C194" s="515" t="s">
        <v>432</v>
      </c>
      <c r="D194" s="516">
        <v>12</v>
      </c>
      <c r="E194" s="517">
        <f>8400/0.00465*0.1</f>
        <v>180645.16129032261</v>
      </c>
      <c r="F194" s="530">
        <f>D194*E194</f>
        <v>2167741.935483871</v>
      </c>
      <c r="G194" s="418">
        <f>F194*C4</f>
        <v>10080</v>
      </c>
      <c r="H194" s="512"/>
      <c r="I194" s="512"/>
      <c r="J194" s="512"/>
      <c r="K194" s="512"/>
      <c r="L194" s="512"/>
      <c r="M194" s="512"/>
      <c r="N194" s="512"/>
      <c r="O194" s="512"/>
      <c r="P194" s="512"/>
      <c r="Q194" s="526"/>
      <c r="R194" s="531"/>
      <c r="S194" s="523">
        <f>R194-F194</f>
        <v>-2167741.935483871</v>
      </c>
      <c r="T194" s="524">
        <f>IF(F194=0,0,S194/F194)</f>
        <v>-1</v>
      </c>
      <c r="U194" s="523" t="e">
        <f>#N/A</f>
        <v>#N/A</v>
      </c>
      <c r="V194" s="523" t="e">
        <f>U194-G194</f>
        <v>#N/A</v>
      </c>
      <c r="W194" s="524" t="e">
        <f>IF(G194=0,0,V194/G194)</f>
        <v>#N/A</v>
      </c>
      <c r="X194" s="524"/>
    </row>
    <row r="195" spans="1:24" x14ac:dyDescent="0.25">
      <c r="B195" s="578" t="s">
        <v>691</v>
      </c>
      <c r="C195" s="617" t="s">
        <v>432</v>
      </c>
      <c r="D195" s="618">
        <v>12</v>
      </c>
      <c r="E195" s="619">
        <f>5830/0.00465*0.1</f>
        <v>125376.34408602152</v>
      </c>
      <c r="F195" s="530">
        <f>D195*E195</f>
        <v>1504516.1290322582</v>
      </c>
      <c r="G195" s="418">
        <f>F195*C4</f>
        <v>6996</v>
      </c>
      <c r="H195" s="512"/>
      <c r="I195" s="512"/>
      <c r="J195" s="512"/>
      <c r="K195" s="512"/>
      <c r="L195" s="512"/>
      <c r="M195" s="512"/>
      <c r="N195" s="512"/>
      <c r="O195" s="512"/>
      <c r="P195" s="512"/>
      <c r="Q195" s="526"/>
      <c r="R195" s="531"/>
      <c r="S195" s="523"/>
      <c r="T195" s="524"/>
      <c r="U195" s="523"/>
      <c r="V195" s="523"/>
      <c r="W195" s="524"/>
      <c r="X195" s="524"/>
    </row>
    <row r="196" spans="1:24" x14ac:dyDescent="0.25">
      <c r="B196" s="591" t="s">
        <v>689</v>
      </c>
      <c r="C196" s="515" t="s">
        <v>432</v>
      </c>
      <c r="D196" s="516">
        <v>12</v>
      </c>
      <c r="E196" s="517">
        <f>5250/0.00465*0.1</f>
        <v>112903.22580645162</v>
      </c>
      <c r="F196" s="530">
        <f>D196*E196</f>
        <v>1354838.7096774194</v>
      </c>
      <c r="G196" s="418">
        <f>F196*C4</f>
        <v>6300</v>
      </c>
      <c r="H196" s="512"/>
      <c r="I196" s="512"/>
      <c r="J196" s="512"/>
      <c r="K196" s="512"/>
      <c r="L196" s="512"/>
      <c r="M196" s="512"/>
      <c r="N196" s="512"/>
      <c r="O196" s="512"/>
      <c r="P196" s="512"/>
      <c r="Q196" s="526"/>
      <c r="R196" s="531"/>
      <c r="S196" s="523">
        <f>R196-F196</f>
        <v>-1354838.7096774194</v>
      </c>
      <c r="T196" s="524">
        <f>IF(F196=0,0,S196/F196)</f>
        <v>-1</v>
      </c>
      <c r="U196" s="523" t="e">
        <f>#N/A</f>
        <v>#N/A</v>
      </c>
      <c r="V196" s="523" t="e">
        <f>U196-G196</f>
        <v>#N/A</v>
      </c>
      <c r="W196" s="524" t="e">
        <f>IF(G196=0,0,V196/G196)</f>
        <v>#N/A</v>
      </c>
      <c r="X196" s="524"/>
    </row>
    <row r="197" spans="1:24" x14ac:dyDescent="0.25">
      <c r="B197" s="578" t="s">
        <v>690</v>
      </c>
      <c r="C197" s="515" t="s">
        <v>432</v>
      </c>
      <c r="D197" s="516">
        <v>12</v>
      </c>
      <c r="E197" s="517">
        <f>3300/0.00465*0.1</f>
        <v>70967.741935483878</v>
      </c>
      <c r="F197" s="530">
        <f>D197*E197</f>
        <v>851612.90322580654</v>
      </c>
      <c r="G197" s="418">
        <f>F197*C4</f>
        <v>3960</v>
      </c>
      <c r="H197" s="512"/>
      <c r="I197" s="512"/>
      <c r="J197" s="512"/>
      <c r="K197" s="512"/>
      <c r="L197" s="512"/>
      <c r="M197" s="512"/>
      <c r="N197" s="512"/>
      <c r="O197" s="512"/>
      <c r="P197" s="512"/>
      <c r="Q197" s="526"/>
      <c r="R197" s="531"/>
      <c r="S197" s="523">
        <f>R197-F197</f>
        <v>-851612.90322580654</v>
      </c>
      <c r="T197" s="524">
        <f>IF(F197=0,0,S197/F197)</f>
        <v>-1</v>
      </c>
      <c r="U197" s="523" t="e">
        <f>#N/A</f>
        <v>#N/A</v>
      </c>
      <c r="V197" s="523" t="e">
        <f>U197-G197</f>
        <v>#N/A</v>
      </c>
      <c r="W197" s="524" t="e">
        <f>IF(G197=0,0,V197/G197)</f>
        <v>#N/A</v>
      </c>
      <c r="X197" s="524"/>
    </row>
    <row r="199" spans="1:24" x14ac:dyDescent="0.25">
      <c r="B199" s="620" t="s">
        <v>39</v>
      </c>
      <c r="C199" s="602"/>
      <c r="D199" s="603"/>
      <c r="E199" s="604"/>
      <c r="F199" s="530"/>
      <c r="G199" s="538"/>
      <c r="H199" s="512"/>
      <c r="I199" s="512"/>
      <c r="J199" s="512"/>
      <c r="K199" s="512"/>
      <c r="L199" s="512"/>
      <c r="M199" s="512"/>
      <c r="N199" s="512"/>
      <c r="O199" s="512"/>
      <c r="P199" s="512"/>
      <c r="Q199" s="526"/>
      <c r="R199" s="539"/>
      <c r="S199" s="523"/>
      <c r="T199" s="524"/>
      <c r="U199" s="523"/>
      <c r="V199" s="523"/>
      <c r="W199" s="524"/>
      <c r="X199" s="524"/>
    </row>
    <row r="200" spans="1:24" x14ac:dyDescent="0.25">
      <c r="B200" s="591" t="s">
        <v>40</v>
      </c>
      <c r="C200" s="515" t="s">
        <v>432</v>
      </c>
      <c r="D200" s="516">
        <v>12</v>
      </c>
      <c r="E200" s="517">
        <f>1400/0.00465</f>
        <v>301075.26881720434</v>
      </c>
      <c r="F200" s="530">
        <f>D200*E200</f>
        <v>3612903.2258064523</v>
      </c>
      <c r="G200" s="538">
        <f>F200*C4</f>
        <v>16800.000000000004</v>
      </c>
      <c r="H200" s="512"/>
      <c r="I200" s="512"/>
      <c r="J200" s="512"/>
      <c r="K200" s="512"/>
      <c r="L200" s="512"/>
      <c r="M200" s="512"/>
      <c r="N200" s="512"/>
      <c r="O200" s="512"/>
      <c r="P200" s="512"/>
      <c r="Q200" s="526"/>
      <c r="R200" s="531"/>
      <c r="S200" s="523">
        <f>R200-F200</f>
        <v>-3612903.2258064523</v>
      </c>
      <c r="T200" s="524">
        <f>IF(F200=0,0,S200/F200)</f>
        <v>-1</v>
      </c>
      <c r="U200" s="523">
        <f>R200*$C$4</f>
        <v>0</v>
      </c>
      <c r="V200" s="523">
        <f>U200-G200</f>
        <v>-16800.000000000004</v>
      </c>
      <c r="W200" s="524">
        <f>IF(G200=0,0,V200/G200)</f>
        <v>-1</v>
      </c>
      <c r="X200" s="524"/>
    </row>
    <row r="201" spans="1:24" x14ac:dyDescent="0.25">
      <c r="B201" s="591" t="s">
        <v>41</v>
      </c>
      <c r="C201" s="515" t="s">
        <v>432</v>
      </c>
      <c r="D201" s="516">
        <v>12</v>
      </c>
      <c r="E201" s="517">
        <f>535/0.00465</f>
        <v>115053.76344086023</v>
      </c>
      <c r="F201" s="530">
        <f>D201*E201</f>
        <v>1380645.1612903229</v>
      </c>
      <c r="G201" s="538">
        <f>F201*C4</f>
        <v>6420.0000000000009</v>
      </c>
      <c r="H201" s="512"/>
      <c r="I201" s="512"/>
      <c r="J201" s="512"/>
      <c r="K201" s="512"/>
      <c r="L201" s="512"/>
      <c r="M201" s="512"/>
      <c r="N201" s="512"/>
      <c r="O201" s="512"/>
      <c r="P201" s="512"/>
      <c r="Q201" s="526"/>
      <c r="R201" s="531"/>
      <c r="S201" s="523">
        <f>R201-F201</f>
        <v>-1380645.1612903229</v>
      </c>
      <c r="T201" s="524">
        <f>IF(F201=0,0,S201/F201)</f>
        <v>-1</v>
      </c>
      <c r="U201" s="523">
        <f>R201*$C$4</f>
        <v>0</v>
      </c>
      <c r="V201" s="523">
        <f>U201-G201</f>
        <v>-6420.0000000000009</v>
      </c>
      <c r="W201" s="524">
        <f>IF(G201=0,0,V201/G201)</f>
        <v>-1</v>
      </c>
      <c r="X201" s="524"/>
    </row>
    <row r="202" spans="1:24" x14ac:dyDescent="0.25">
      <c r="B202" s="591" t="s">
        <v>42</v>
      </c>
      <c r="C202" s="515" t="s">
        <v>432</v>
      </c>
      <c r="D202" s="516">
        <v>12</v>
      </c>
      <c r="E202" s="517">
        <f>500/0.00465</f>
        <v>107526.88172043012</v>
      </c>
      <c r="F202" s="530">
        <f>D202*E202</f>
        <v>1290322.5806451614</v>
      </c>
      <c r="G202" s="538">
        <f>F202*C4</f>
        <v>6000</v>
      </c>
      <c r="H202" s="512"/>
      <c r="I202" s="512"/>
      <c r="J202" s="512"/>
      <c r="K202" s="512"/>
      <c r="L202" s="512"/>
      <c r="M202" s="512"/>
      <c r="N202" s="512"/>
      <c r="O202" s="512"/>
      <c r="P202" s="512"/>
      <c r="Q202" s="526"/>
      <c r="R202" s="531"/>
      <c r="S202" s="523">
        <f>R202-F202</f>
        <v>-1290322.5806451614</v>
      </c>
      <c r="T202" s="524">
        <f>IF(F202=0,0,S202/F202)</f>
        <v>-1</v>
      </c>
      <c r="U202" s="523">
        <f>R202*$C$4</f>
        <v>0</v>
      </c>
      <c r="V202" s="523">
        <f>U202-G202</f>
        <v>-6000</v>
      </c>
      <c r="W202" s="524">
        <f>IF(G202=0,0,V202/G202)</f>
        <v>-1</v>
      </c>
      <c r="X202" s="524"/>
    </row>
    <row r="203" spans="1:24" x14ac:dyDescent="0.25">
      <c r="B203" s="620" t="s">
        <v>43</v>
      </c>
      <c r="C203" s="602"/>
      <c r="D203" s="603"/>
      <c r="E203" s="604"/>
      <c r="F203" s="530"/>
      <c r="G203" s="538"/>
      <c r="H203" s="512"/>
      <c r="I203" s="512"/>
      <c r="J203" s="512"/>
      <c r="K203" s="512"/>
      <c r="L203" s="512"/>
      <c r="M203" s="512"/>
      <c r="N203" s="512"/>
      <c r="O203" s="512"/>
      <c r="P203" s="512"/>
      <c r="Q203" s="526"/>
      <c r="R203" s="539"/>
      <c r="S203" s="523"/>
      <c r="T203" s="524"/>
      <c r="U203" s="523"/>
      <c r="V203" s="523"/>
      <c r="W203" s="524"/>
      <c r="X203" s="524"/>
    </row>
    <row r="204" spans="1:24" x14ac:dyDescent="0.25">
      <c r="B204" s="591" t="s">
        <v>44</v>
      </c>
      <c r="C204" s="515" t="s">
        <v>432</v>
      </c>
      <c r="D204" s="516">
        <v>12</v>
      </c>
      <c r="E204" s="517">
        <f>475/0.00465</f>
        <v>102150.53763440861</v>
      </c>
      <c r="F204" s="530">
        <f>D204*E204</f>
        <v>1225806.4516129033</v>
      </c>
      <c r="G204" s="538">
        <f>F204*C4</f>
        <v>5700</v>
      </c>
      <c r="H204" s="512"/>
      <c r="I204" s="512"/>
      <c r="J204" s="512"/>
      <c r="K204" s="512"/>
      <c r="L204" s="512"/>
      <c r="M204" s="512"/>
      <c r="N204" s="512"/>
      <c r="O204" s="512"/>
      <c r="P204" s="512"/>
      <c r="Q204" s="526"/>
      <c r="R204" s="531"/>
      <c r="S204" s="523">
        <f>R204-F204</f>
        <v>-1225806.4516129033</v>
      </c>
      <c r="T204" s="524">
        <f>IF(F204=0,0,S204/F204)</f>
        <v>-1</v>
      </c>
      <c r="U204" s="523">
        <f>R204*$C$4</f>
        <v>0</v>
      </c>
      <c r="V204" s="523">
        <f>U204-G204</f>
        <v>-5700</v>
      </c>
      <c r="W204" s="524">
        <f>IF(G204=0,0,V204/G204)</f>
        <v>-1</v>
      </c>
      <c r="X204" s="524"/>
    </row>
    <row r="205" spans="1:24" x14ac:dyDescent="0.25">
      <c r="B205" s="620" t="s">
        <v>45</v>
      </c>
      <c r="C205" s="595"/>
      <c r="D205" s="595"/>
      <c r="E205" s="595"/>
      <c r="F205" s="596"/>
      <c r="G205" s="538"/>
      <c r="H205" s="512"/>
      <c r="I205" s="512"/>
      <c r="J205" s="512"/>
      <c r="K205" s="512"/>
      <c r="L205" s="512"/>
      <c r="M205" s="512"/>
      <c r="N205" s="512"/>
      <c r="O205" s="512"/>
      <c r="P205" s="512"/>
      <c r="Q205" s="526"/>
      <c r="R205" s="539"/>
      <c r="S205" s="523"/>
      <c r="T205" s="524"/>
      <c r="U205" s="523"/>
      <c r="V205" s="523"/>
      <c r="W205" s="524"/>
      <c r="X205" s="524"/>
    </row>
    <row r="206" spans="1:24" x14ac:dyDescent="0.25">
      <c r="B206" s="591" t="s">
        <v>46</v>
      </c>
      <c r="C206" s="515" t="s">
        <v>686</v>
      </c>
      <c r="D206" s="516">
        <v>1</v>
      </c>
      <c r="E206" s="517">
        <f>2495/0.00465</f>
        <v>536559.13978494622</v>
      </c>
      <c r="F206" s="530">
        <f>D206*E206</f>
        <v>536559.13978494622</v>
      </c>
      <c r="G206" s="538">
        <f>F206*C4</f>
        <v>2494.9999999999995</v>
      </c>
      <c r="H206" s="512"/>
      <c r="I206" s="512"/>
      <c r="J206" s="512"/>
      <c r="K206" s="512"/>
      <c r="L206" s="512"/>
      <c r="M206" s="512"/>
      <c r="N206" s="512"/>
      <c r="O206" s="512"/>
      <c r="P206" s="512"/>
      <c r="Q206" s="526"/>
      <c r="R206" s="531"/>
      <c r="S206" s="523">
        <f>R206-F206</f>
        <v>-536559.13978494622</v>
      </c>
      <c r="T206" s="524">
        <f>IF(F206=0,0,S206/F206)</f>
        <v>-1</v>
      </c>
      <c r="U206" s="523">
        <f>R206*$C$4</f>
        <v>0</v>
      </c>
      <c r="V206" s="523">
        <f>U206-G206</f>
        <v>-2494.9999999999995</v>
      </c>
      <c r="W206" s="524">
        <f>IF(G206=0,0,V206/G206)</f>
        <v>-1</v>
      </c>
      <c r="X206" s="524"/>
    </row>
    <row r="207" spans="1:24" x14ac:dyDescent="0.25">
      <c r="B207" s="578"/>
      <c r="C207" s="602"/>
      <c r="D207" s="603"/>
      <c r="E207" s="604"/>
      <c r="F207" s="530"/>
      <c r="G207" s="538"/>
      <c r="H207" s="512"/>
      <c r="I207" s="512"/>
      <c r="J207" s="512"/>
      <c r="K207" s="512"/>
      <c r="L207" s="512"/>
      <c r="M207" s="512"/>
      <c r="N207" s="512"/>
      <c r="O207" s="512"/>
      <c r="P207" s="512"/>
      <c r="Q207" s="526"/>
      <c r="R207" s="539"/>
      <c r="S207" s="523"/>
      <c r="T207" s="524"/>
      <c r="U207" s="523"/>
      <c r="V207" s="523"/>
      <c r="W207" s="524"/>
      <c r="X207" s="524"/>
    </row>
    <row r="208" spans="1:24" x14ac:dyDescent="0.25">
      <c r="A208" s="181"/>
      <c r="B208" s="181" t="s">
        <v>62</v>
      </c>
      <c r="C208" s="610"/>
      <c r="D208" s="611"/>
      <c r="E208" s="612"/>
      <c r="F208" s="558">
        <f>F206+F204+F202+F201+F200+F195+F197+F196+F194</f>
        <v>13924946.236559141</v>
      </c>
      <c r="G208" s="558">
        <f>SUM(G194:G206)</f>
        <v>64751</v>
      </c>
      <c r="H208" s="582"/>
      <c r="I208" s="582"/>
      <c r="J208" s="582"/>
      <c r="K208" s="582"/>
      <c r="L208" s="582"/>
      <c r="M208" s="582"/>
      <c r="N208" s="582"/>
      <c r="O208" s="582"/>
      <c r="P208" s="582"/>
      <c r="Q208" s="583"/>
      <c r="R208" s="484"/>
      <c r="S208" s="614">
        <f>R208-F208</f>
        <v>-13924946.236559141</v>
      </c>
      <c r="T208" s="615">
        <f>IF(F208=0,0,S208/F208)</f>
        <v>-1</v>
      </c>
      <c r="U208" s="614">
        <f>R208*$C$4</f>
        <v>0</v>
      </c>
      <c r="V208" s="614">
        <f>U208-G208</f>
        <v>-64751</v>
      </c>
      <c r="W208" s="615">
        <f>IF(G208=0,0,V208/G208)</f>
        <v>-1</v>
      </c>
      <c r="X208" s="615"/>
    </row>
    <row r="209" spans="1:25" x14ac:dyDescent="0.25">
      <c r="A209" s="150"/>
      <c r="B209" s="150"/>
      <c r="C209" s="480"/>
      <c r="D209" s="499"/>
      <c r="E209" s="485"/>
      <c r="F209" s="748">
        <f>(F208/F211)</f>
        <v>5.0464932713525659E-2</v>
      </c>
      <c r="G209" s="748">
        <f>(G208/G211)</f>
        <v>5.0464932630930957E-2</v>
      </c>
      <c r="H209" s="622"/>
      <c r="I209" s="623"/>
      <c r="J209" s="623"/>
      <c r="K209" s="623"/>
      <c r="L209" s="623"/>
      <c r="M209" s="623"/>
      <c r="N209" s="623"/>
      <c r="O209" s="623"/>
      <c r="P209" s="623"/>
      <c r="Q209" s="623"/>
      <c r="R209" s="624"/>
      <c r="S209" s="624"/>
      <c r="T209" s="624"/>
      <c r="U209" s="624"/>
      <c r="V209" s="624"/>
      <c r="W209" s="624"/>
      <c r="X209" s="624"/>
      <c r="Y209" s="473"/>
    </row>
    <row r="210" spans="1:25" x14ac:dyDescent="0.25">
      <c r="A210" s="150"/>
      <c r="B210" s="150"/>
      <c r="C210" s="480"/>
      <c r="D210" s="499"/>
      <c r="E210" s="485"/>
      <c r="F210" s="624"/>
      <c r="G210" s="624"/>
      <c r="H210" s="512"/>
      <c r="I210" s="512"/>
      <c r="J210" s="512"/>
      <c r="K210" s="512"/>
      <c r="L210" s="512"/>
      <c r="M210" s="512"/>
      <c r="N210" s="512"/>
      <c r="O210" s="512"/>
      <c r="P210" s="512"/>
      <c r="Q210" s="512"/>
      <c r="R210" s="467"/>
      <c r="S210" s="467"/>
      <c r="T210" s="467"/>
      <c r="U210" s="467"/>
      <c r="V210" s="467"/>
      <c r="W210" s="467"/>
      <c r="X210" s="467"/>
    </row>
    <row r="211" spans="1:25" ht="13.8" thickBot="1" x14ac:dyDescent="0.3">
      <c r="A211" s="74"/>
      <c r="B211" s="74" t="s">
        <v>27</v>
      </c>
      <c r="F211" s="625">
        <f>SUM(F190+F208)</f>
        <v>275933118.06451619</v>
      </c>
      <c r="G211" s="625">
        <f>SUM(G190+G208)</f>
        <v>1283089.0011</v>
      </c>
      <c r="H211" s="556"/>
      <c r="I211" s="556"/>
      <c r="J211" s="556"/>
      <c r="K211" s="556"/>
      <c r="L211" s="556"/>
      <c r="M211" s="556"/>
      <c r="N211" s="556"/>
      <c r="O211" s="556"/>
      <c r="P211" s="556"/>
      <c r="Q211" s="556"/>
      <c r="R211" s="607"/>
      <c r="S211" s="607"/>
      <c r="T211" s="607"/>
      <c r="U211" s="607"/>
      <c r="V211" s="607"/>
      <c r="W211" s="607"/>
      <c r="X211" s="607"/>
    </row>
    <row r="212" spans="1:25" ht="13.8" thickTop="1" x14ac:dyDescent="0.25">
      <c r="A212" s="74"/>
      <c r="B212" s="35"/>
      <c r="F212" s="650"/>
      <c r="G212" s="770"/>
      <c r="H212" s="626"/>
      <c r="I212" s="626"/>
      <c r="J212" s="626"/>
      <c r="K212" s="626"/>
      <c r="L212" s="626"/>
      <c r="M212" s="626"/>
      <c r="N212" s="626"/>
      <c r="O212" s="626"/>
      <c r="P212" s="626"/>
      <c r="Q212" s="626"/>
      <c r="R212" s="627"/>
      <c r="S212" s="627"/>
      <c r="T212" s="627"/>
      <c r="U212" s="627"/>
      <c r="V212" s="627"/>
      <c r="W212" s="627"/>
      <c r="X212" s="627"/>
    </row>
    <row r="213" spans="1:25" x14ac:dyDescent="0.25">
      <c r="A213" s="74" t="s">
        <v>36</v>
      </c>
      <c r="B213" s="39"/>
      <c r="F213" s="1">
        <f>F211*0.03</f>
        <v>8277993.5419354849</v>
      </c>
      <c r="G213" s="1">
        <f>G211*0.03</f>
        <v>38492.670032999995</v>
      </c>
      <c r="H213" s="512"/>
      <c r="I213" s="512"/>
      <c r="J213" s="512"/>
      <c r="K213" s="512"/>
      <c r="L213" s="512"/>
      <c r="M213" s="512"/>
      <c r="N213" s="512"/>
      <c r="O213" s="512"/>
      <c r="P213" s="512"/>
      <c r="Q213" s="512"/>
      <c r="R213" s="467"/>
      <c r="S213" s="467"/>
      <c r="T213" s="467"/>
      <c r="U213" s="467"/>
      <c r="V213" s="467"/>
      <c r="W213" s="467"/>
      <c r="X213" s="467"/>
    </row>
    <row r="214" spans="1:25" x14ac:dyDescent="0.25">
      <c r="A214" s="74"/>
      <c r="B214" s="35"/>
      <c r="F214" s="650"/>
      <c r="G214" s="35"/>
      <c r="H214" s="512"/>
      <c r="I214" s="512"/>
      <c r="J214" s="512"/>
      <c r="K214" s="512"/>
      <c r="L214" s="512"/>
      <c r="M214" s="512"/>
      <c r="N214" s="512"/>
      <c r="O214" s="512"/>
      <c r="P214" s="512"/>
      <c r="Q214" s="512"/>
      <c r="R214" s="467"/>
      <c r="S214" s="467"/>
      <c r="T214" s="467"/>
      <c r="U214" s="467"/>
      <c r="V214" s="467"/>
      <c r="W214" s="467"/>
      <c r="X214" s="467"/>
    </row>
    <row r="215" spans="1:25" ht="13.8" thickBot="1" x14ac:dyDescent="0.3">
      <c r="A215" s="117"/>
      <c r="B215" s="117" t="s">
        <v>28</v>
      </c>
      <c r="C215" s="491"/>
      <c r="D215" s="628"/>
      <c r="E215" s="629"/>
      <c r="F215" s="647">
        <f>SUM(F213+F211)</f>
        <v>284211111.60645169</v>
      </c>
      <c r="G215" s="647">
        <f>SUM(G213+G211)</f>
        <v>1321581.6711329999</v>
      </c>
      <c r="H215" s="630"/>
      <c r="I215" s="630"/>
      <c r="J215" s="630"/>
      <c r="K215" s="630"/>
      <c r="L215" s="630"/>
      <c r="M215" s="630"/>
      <c r="N215" s="630"/>
      <c r="O215" s="630"/>
      <c r="P215" s="630"/>
      <c r="Q215" s="630"/>
      <c r="R215" s="495"/>
      <c r="S215" s="495"/>
      <c r="T215" s="495"/>
      <c r="U215" s="495"/>
      <c r="V215" s="495"/>
      <c r="W215" s="495"/>
      <c r="X215" s="495"/>
    </row>
    <row r="216" spans="1:25" hidden="1" x14ac:dyDescent="0.25">
      <c r="A216" s="74"/>
      <c r="B216" s="35"/>
      <c r="F216" s="650"/>
      <c r="G216" s="35"/>
      <c r="H216" s="631"/>
      <c r="I216" s="631"/>
      <c r="J216" s="631"/>
      <c r="K216" s="631"/>
      <c r="L216" s="631"/>
      <c r="M216" s="631"/>
      <c r="N216" s="631"/>
      <c r="O216" s="631"/>
      <c r="P216" s="631"/>
      <c r="Q216" s="631"/>
      <c r="R216" s="467"/>
      <c r="S216" s="467"/>
      <c r="T216" s="467"/>
      <c r="U216" s="467"/>
      <c r="V216" s="467"/>
      <c r="W216" s="467"/>
      <c r="X216" s="467"/>
    </row>
    <row r="217" spans="1:25" ht="13.8" hidden="1" thickBot="1" x14ac:dyDescent="0.3">
      <c r="A217" s="191" t="s">
        <v>24</v>
      </c>
      <c r="B217" s="192"/>
      <c r="C217" s="632"/>
      <c r="D217" s="633"/>
      <c r="E217" s="634"/>
      <c r="F217" s="635">
        <f>SUM(F215-F8)</f>
        <v>284211111.60645169</v>
      </c>
      <c r="G217" s="635">
        <f>SUM(G215-G7)</f>
        <v>1321581.6711329999</v>
      </c>
      <c r="H217" s="636"/>
      <c r="I217" s="636"/>
      <c r="J217" s="636"/>
      <c r="K217" s="636"/>
      <c r="L217" s="636"/>
      <c r="M217" s="636"/>
      <c r="N217" s="636"/>
      <c r="O217" s="636"/>
      <c r="P217" s="636"/>
      <c r="Q217" s="636"/>
      <c r="R217" s="637"/>
      <c r="S217" s="637"/>
      <c r="T217" s="637"/>
      <c r="U217" s="637"/>
      <c r="V217" s="637"/>
      <c r="W217" s="637"/>
      <c r="X217" s="637"/>
    </row>
    <row r="218" spans="1:25" hidden="1" x14ac:dyDescent="0.25"/>
    <row r="220" spans="1:25" x14ac:dyDescent="0.25">
      <c r="A220" s="442" t="s">
        <v>15</v>
      </c>
    </row>
    <row r="222" spans="1:25" ht="15" x14ac:dyDescent="0.4">
      <c r="B222" s="638" t="s">
        <v>16</v>
      </c>
      <c r="D222" s="639" t="s">
        <v>26</v>
      </c>
      <c r="F222" s="870" t="s">
        <v>17</v>
      </c>
      <c r="G222" s="871"/>
      <c r="H222" s="640"/>
      <c r="I222" s="640"/>
      <c r="J222" s="640"/>
      <c r="K222" s="640"/>
      <c r="L222" s="640"/>
      <c r="M222" s="640"/>
      <c r="N222" s="640"/>
      <c r="O222" s="640"/>
      <c r="P222" s="640"/>
      <c r="Q222" s="640"/>
      <c r="R222" s="640"/>
      <c r="S222" s="640"/>
      <c r="T222" s="640"/>
      <c r="U222" s="640"/>
      <c r="V222" s="640"/>
      <c r="W222" s="640"/>
      <c r="X222" s="640"/>
    </row>
    <row r="223" spans="1:25" ht="15" x14ac:dyDescent="0.4">
      <c r="D223" s="639"/>
    </row>
  </sheetData>
  <mergeCells count="3">
    <mergeCell ref="A1:G1"/>
    <mergeCell ref="H76:Q76"/>
    <mergeCell ref="F222:G222"/>
  </mergeCells>
  <conditionalFormatting sqref="H209:X209">
    <cfRule type="cellIs" dxfId="5" priority="2" stopIfTrue="1" operator="greaterThan">
      <formula>15</formula>
    </cfRule>
  </conditionalFormatting>
  <conditionalFormatting sqref="F209:G210">
    <cfRule type="cellIs" dxfId="4" priority="1" stopIfTrue="1" operator="greaterThan">
      <formula>15</formula>
    </cfRule>
  </conditionalFormatting>
  <printOptions horizontalCentered="1"/>
  <pageMargins left="0.31" right="0.31" top="0.75" bottom="0.51" header="0.51" footer="0.51"/>
  <pageSetup paperSize="9" scale="4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3"/>
  <sheetViews>
    <sheetView topLeftCell="A254" workbookViewId="0">
      <selection activeCell="Y279" sqref="Y278:Y279"/>
    </sheetView>
  </sheetViews>
  <sheetFormatPr defaultColWidth="11.44140625" defaultRowHeight="14.1" customHeight="1" x14ac:dyDescent="0.25"/>
  <cols>
    <col min="1" max="1" width="6.109375" customWidth="1"/>
    <col min="2" max="2" width="41" customWidth="1"/>
    <col min="6" max="7" width="11.109375" style="813" bestFit="1" customWidth="1"/>
    <col min="8" max="24" width="0" hidden="1" customWidth="1"/>
    <col min="25" max="25" width="81.88671875" customWidth="1"/>
  </cols>
  <sheetData>
    <row r="1" spans="1:26" ht="14.1" customHeight="1" x14ac:dyDescent="0.25">
      <c r="A1" s="864" t="s">
        <v>66</v>
      </c>
      <c r="B1" s="845"/>
      <c r="C1" s="845"/>
      <c r="D1" s="845"/>
      <c r="E1" s="845"/>
      <c r="F1" s="845"/>
      <c r="G1" s="846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141"/>
      <c r="Z1" s="35"/>
    </row>
    <row r="2" spans="1:26" ht="14.1" customHeight="1" x14ac:dyDescent="0.25">
      <c r="A2" s="438"/>
      <c r="B2" s="72"/>
      <c r="C2" s="72"/>
      <c r="D2" s="72"/>
      <c r="E2" s="72"/>
      <c r="F2" s="784"/>
      <c r="G2" s="784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141"/>
      <c r="Z2" s="35"/>
    </row>
    <row r="3" spans="1:26" ht="14.1" customHeight="1" x14ac:dyDescent="0.25">
      <c r="A3" s="74" t="s">
        <v>10</v>
      </c>
      <c r="B3" s="35"/>
      <c r="C3" s="443"/>
      <c r="D3" s="444"/>
      <c r="E3" s="445"/>
      <c r="F3" s="165"/>
      <c r="G3" s="76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141"/>
      <c r="Z3" s="35"/>
    </row>
    <row r="4" spans="1:26" ht="14.1" customHeight="1" x14ac:dyDescent="0.25">
      <c r="A4" s="74"/>
      <c r="B4" s="79" t="s">
        <v>25</v>
      </c>
      <c r="C4" s="682">
        <v>1.41</v>
      </c>
      <c r="D4" s="444"/>
      <c r="E4" s="445"/>
      <c r="F4" s="165"/>
      <c r="G4" s="76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153"/>
      <c r="Z4" s="35"/>
    </row>
    <row r="5" spans="1:26" ht="14.1" customHeight="1" x14ac:dyDescent="0.25">
      <c r="A5" s="74"/>
      <c r="B5" s="82" t="s">
        <v>739</v>
      </c>
      <c r="C5" s="443"/>
      <c r="D5" s="444"/>
      <c r="E5" s="445"/>
      <c r="F5" s="165"/>
      <c r="G5" s="76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141"/>
      <c r="Z5" s="35"/>
    </row>
    <row r="6" spans="1:26" ht="14.1" customHeight="1" x14ac:dyDescent="0.25">
      <c r="A6" s="74"/>
      <c r="B6" s="83"/>
      <c r="C6" s="443"/>
      <c r="D6" s="444"/>
      <c r="E6" s="445"/>
      <c r="F6" s="76"/>
      <c r="G6" s="76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141"/>
      <c r="Z6" s="35"/>
    </row>
    <row r="7" spans="1:26" ht="14.1" customHeight="1" x14ac:dyDescent="0.25">
      <c r="A7" s="74" t="s">
        <v>23</v>
      </c>
      <c r="B7" s="35"/>
      <c r="C7" s="443" t="s">
        <v>740</v>
      </c>
      <c r="D7" s="444"/>
      <c r="E7" s="445"/>
      <c r="F7" s="76"/>
      <c r="G7" s="76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141"/>
      <c r="Z7" s="35"/>
    </row>
    <row r="8" spans="1:26" ht="14.1" customHeight="1" x14ac:dyDescent="0.25">
      <c r="A8" s="74" t="s">
        <v>67</v>
      </c>
      <c r="B8" s="35"/>
      <c r="C8" s="83" t="s">
        <v>741</v>
      </c>
      <c r="D8" s="444"/>
      <c r="E8" s="445"/>
      <c r="F8" s="76"/>
      <c r="G8" s="76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141"/>
      <c r="Z8" s="35"/>
    </row>
    <row r="9" spans="1:26" ht="14.1" customHeight="1" x14ac:dyDescent="0.25">
      <c r="A9" s="74" t="s">
        <v>68</v>
      </c>
      <c r="B9" s="35"/>
      <c r="C9" s="81" t="str">
        <f>Consolidated!C9</f>
        <v xml:space="preserve">Humanitarian Response for People Affected by the Syrian Conflict </v>
      </c>
      <c r="D9" s="444"/>
      <c r="E9" s="445"/>
      <c r="F9" s="76"/>
      <c r="G9" s="76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141"/>
      <c r="Z9" s="35"/>
    </row>
    <row r="10" spans="1:26" ht="14.1" customHeight="1" x14ac:dyDescent="0.25">
      <c r="A10" s="74" t="s">
        <v>56</v>
      </c>
      <c r="B10" s="35"/>
      <c r="C10" s="642" t="str">
        <f>Consolidated!C10</f>
        <v>January 1st 2019-December 31st 2019</v>
      </c>
      <c r="D10" s="444"/>
      <c r="E10" s="445"/>
      <c r="F10" s="76"/>
      <c r="G10" s="76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141"/>
      <c r="Z10" s="35"/>
    </row>
    <row r="11" spans="1:26" ht="14.1" hidden="1" customHeight="1" x14ac:dyDescent="0.25">
      <c r="A11" s="74"/>
      <c r="B11" s="74"/>
      <c r="C11" s="453"/>
      <c r="D11" s="454"/>
      <c r="E11" s="438"/>
      <c r="F11" s="100" t="s">
        <v>69</v>
      </c>
      <c r="G11" s="100" t="s">
        <v>69</v>
      </c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683"/>
      <c r="Z11" s="88"/>
    </row>
    <row r="12" spans="1:26" ht="14.1" hidden="1" customHeight="1" x14ac:dyDescent="0.25">
      <c r="A12" s="74"/>
      <c r="B12" s="74"/>
      <c r="C12" s="453"/>
      <c r="D12" s="454"/>
      <c r="E12" s="438"/>
      <c r="F12" s="100" t="s">
        <v>5</v>
      </c>
      <c r="G12" s="100" t="s">
        <v>5</v>
      </c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683"/>
      <c r="Z12" s="88"/>
    </row>
    <row r="13" spans="1:26" ht="14.1" hidden="1" customHeight="1" x14ac:dyDescent="0.25">
      <c r="A13" s="89" t="s">
        <v>47</v>
      </c>
      <c r="B13" s="35"/>
      <c r="C13" s="453"/>
      <c r="D13" s="454"/>
      <c r="E13" s="458"/>
      <c r="F13" s="785" t="s">
        <v>20</v>
      </c>
      <c r="G13" s="86" t="s">
        <v>4</v>
      </c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683"/>
      <c r="Z13" s="88"/>
    </row>
    <row r="14" spans="1:26" ht="14.1" hidden="1" customHeight="1" x14ac:dyDescent="0.25">
      <c r="A14" s="92"/>
      <c r="B14" s="93"/>
      <c r="C14" s="462"/>
      <c r="D14" s="463"/>
      <c r="E14" s="464"/>
      <c r="F14" s="786"/>
      <c r="G14" s="78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684"/>
      <c r="Z14" s="97"/>
    </row>
    <row r="15" spans="1:26" ht="14.1" hidden="1" customHeight="1" x14ac:dyDescent="0.25">
      <c r="A15" s="98"/>
      <c r="B15" s="1"/>
      <c r="C15" s="468"/>
      <c r="D15" s="469"/>
      <c r="E15" s="470"/>
      <c r="F15" s="788"/>
      <c r="G15" s="789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685"/>
      <c r="Z15" s="102"/>
    </row>
    <row r="16" spans="1:26" ht="14.1" hidden="1" customHeight="1" x14ac:dyDescent="0.25">
      <c r="A16" s="103" t="s">
        <v>21</v>
      </c>
      <c r="B16" s="39"/>
      <c r="C16" s="474"/>
      <c r="D16" s="475"/>
      <c r="E16" s="476"/>
      <c r="F16" s="139"/>
      <c r="G16" s="126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686"/>
      <c r="Z16" s="39"/>
    </row>
    <row r="17" spans="1:26" ht="14.1" hidden="1" customHeight="1" x14ac:dyDescent="0.25">
      <c r="A17" s="103" t="s">
        <v>32</v>
      </c>
      <c r="B17" s="108" t="s">
        <v>33</v>
      </c>
      <c r="C17" s="103" t="s">
        <v>174</v>
      </c>
      <c r="D17" s="103" t="s">
        <v>65</v>
      </c>
      <c r="E17" s="476"/>
      <c r="F17" s="139"/>
      <c r="G17" s="146"/>
      <c r="H17" s="644"/>
      <c r="I17" s="644"/>
      <c r="J17" s="644"/>
      <c r="K17" s="644"/>
      <c r="L17" s="644"/>
      <c r="M17" s="644"/>
      <c r="N17" s="644"/>
      <c r="O17" s="644"/>
      <c r="P17" s="644"/>
      <c r="Q17" s="644"/>
      <c r="R17" s="644"/>
      <c r="S17" s="644"/>
      <c r="T17" s="644"/>
      <c r="U17" s="644"/>
      <c r="V17" s="644"/>
      <c r="W17" s="644"/>
      <c r="X17" s="644"/>
      <c r="Y17" s="686"/>
      <c r="Z17" s="39"/>
    </row>
    <row r="18" spans="1:26" ht="14.1" hidden="1" customHeight="1" x14ac:dyDescent="0.25">
      <c r="A18" s="109"/>
      <c r="B18" s="110"/>
      <c r="C18" s="644" t="s">
        <v>175</v>
      </c>
      <c r="D18" s="483"/>
      <c r="E18" s="476"/>
      <c r="F18" s="138">
        <v>0</v>
      </c>
      <c r="G18" s="146">
        <f>F18*C4</f>
        <v>0</v>
      </c>
      <c r="H18" s="644"/>
      <c r="I18" s="644"/>
      <c r="J18" s="644"/>
      <c r="K18" s="644"/>
      <c r="L18" s="644"/>
      <c r="M18" s="644"/>
      <c r="N18" s="644"/>
      <c r="O18" s="644"/>
      <c r="P18" s="644"/>
      <c r="Q18" s="644"/>
      <c r="R18" s="644"/>
      <c r="S18" s="644"/>
      <c r="T18" s="644"/>
      <c r="U18" s="644"/>
      <c r="V18" s="644"/>
      <c r="W18" s="644"/>
      <c r="X18" s="644"/>
      <c r="Y18" s="686"/>
      <c r="Z18" s="39"/>
    </row>
    <row r="19" spans="1:26" ht="14.1" hidden="1" customHeight="1" x14ac:dyDescent="0.25">
      <c r="A19" s="109"/>
      <c r="B19" s="110"/>
      <c r="C19" s="644" t="s">
        <v>176</v>
      </c>
      <c r="D19" s="483"/>
      <c r="E19" s="476"/>
      <c r="F19" s="138">
        <v>0</v>
      </c>
      <c r="G19" s="146">
        <f>F19*C4</f>
        <v>0</v>
      </c>
      <c r="H19" s="644"/>
      <c r="I19" s="644"/>
      <c r="J19" s="644"/>
      <c r="K19" s="644"/>
      <c r="L19" s="644"/>
      <c r="M19" s="644"/>
      <c r="N19" s="644"/>
      <c r="O19" s="644"/>
      <c r="P19" s="644"/>
      <c r="Q19" s="644"/>
      <c r="R19" s="644"/>
      <c r="S19" s="644"/>
      <c r="T19" s="644"/>
      <c r="U19" s="644"/>
      <c r="V19" s="644"/>
      <c r="W19" s="644"/>
      <c r="X19" s="644"/>
      <c r="Y19" s="686"/>
      <c r="Z19" s="39"/>
    </row>
    <row r="20" spans="1:26" ht="14.1" hidden="1" customHeight="1" x14ac:dyDescent="0.25">
      <c r="A20" s="109"/>
      <c r="B20" s="110"/>
      <c r="C20" s="644" t="s">
        <v>177</v>
      </c>
      <c r="D20" s="483"/>
      <c r="E20" s="476"/>
      <c r="F20" s="138">
        <v>0</v>
      </c>
      <c r="G20" s="146">
        <f>F20*C4</f>
        <v>0</v>
      </c>
      <c r="H20" s="644"/>
      <c r="I20" s="644"/>
      <c r="J20" s="644"/>
      <c r="K20" s="644"/>
      <c r="L20" s="644"/>
      <c r="M20" s="644"/>
      <c r="N20" s="644"/>
      <c r="O20" s="644"/>
      <c r="P20" s="644"/>
      <c r="Q20" s="644"/>
      <c r="R20" s="644"/>
      <c r="S20" s="644"/>
      <c r="T20" s="644"/>
      <c r="U20" s="644"/>
      <c r="V20" s="644"/>
      <c r="W20" s="644"/>
      <c r="X20" s="644"/>
      <c r="Y20" s="686"/>
      <c r="Z20" s="39"/>
    </row>
    <row r="21" spans="1:26" ht="14.1" hidden="1" customHeight="1" x14ac:dyDescent="0.25">
      <c r="A21" s="109"/>
      <c r="B21" s="110"/>
      <c r="C21" s="644" t="s">
        <v>178</v>
      </c>
      <c r="D21" s="483"/>
      <c r="E21" s="476"/>
      <c r="F21" s="138">
        <v>0</v>
      </c>
      <c r="G21" s="146">
        <f>F21*C4</f>
        <v>0</v>
      </c>
      <c r="H21" s="644"/>
      <c r="I21" s="644"/>
      <c r="J21" s="644"/>
      <c r="K21" s="644"/>
      <c r="L21" s="644"/>
      <c r="M21" s="644"/>
      <c r="N21" s="644"/>
      <c r="O21" s="644"/>
      <c r="P21" s="644"/>
      <c r="Q21" s="644"/>
      <c r="R21" s="644"/>
      <c r="S21" s="644"/>
      <c r="T21" s="644"/>
      <c r="U21" s="644"/>
      <c r="V21" s="644"/>
      <c r="W21" s="644"/>
      <c r="X21" s="644"/>
      <c r="Y21" s="686"/>
      <c r="Z21" s="39"/>
    </row>
    <row r="22" spans="1:26" ht="14.1" hidden="1" customHeight="1" x14ac:dyDescent="0.25">
      <c r="A22" s="109"/>
      <c r="B22" s="110"/>
      <c r="C22" s="644" t="s">
        <v>179</v>
      </c>
      <c r="D22" s="483"/>
      <c r="E22" s="476"/>
      <c r="F22" s="138">
        <v>0</v>
      </c>
      <c r="G22" s="146">
        <f>F22*C4</f>
        <v>0</v>
      </c>
      <c r="H22" s="644"/>
      <c r="I22" s="644"/>
      <c r="J22" s="644"/>
      <c r="K22" s="644"/>
      <c r="L22" s="644"/>
      <c r="M22" s="644"/>
      <c r="N22" s="644"/>
      <c r="O22" s="644"/>
      <c r="P22" s="644"/>
      <c r="Q22" s="644"/>
      <c r="R22" s="644"/>
      <c r="S22" s="644"/>
      <c r="T22" s="644"/>
      <c r="U22" s="644"/>
      <c r="V22" s="644"/>
      <c r="W22" s="644"/>
      <c r="X22" s="644"/>
      <c r="Y22" s="686"/>
      <c r="Z22" s="39"/>
    </row>
    <row r="23" spans="1:26" ht="14.1" hidden="1" customHeight="1" x14ac:dyDescent="0.25">
      <c r="A23" s="109"/>
      <c r="B23" s="110"/>
      <c r="C23" s="644" t="s">
        <v>180</v>
      </c>
      <c r="D23" s="483"/>
      <c r="E23" s="476"/>
      <c r="F23" s="138">
        <v>0</v>
      </c>
      <c r="G23" s="146">
        <f>F23*C4</f>
        <v>0</v>
      </c>
      <c r="H23" s="644"/>
      <c r="I23" s="644"/>
      <c r="J23" s="644"/>
      <c r="K23" s="644"/>
      <c r="L23" s="644"/>
      <c r="M23" s="644"/>
      <c r="N23" s="644"/>
      <c r="O23" s="644"/>
      <c r="P23" s="644"/>
      <c r="Q23" s="644"/>
      <c r="R23" s="644"/>
      <c r="S23" s="644"/>
      <c r="T23" s="644"/>
      <c r="U23" s="644"/>
      <c r="V23" s="644"/>
      <c r="W23" s="644"/>
      <c r="X23" s="644"/>
      <c r="Y23" s="686"/>
      <c r="Z23" s="39"/>
    </row>
    <row r="24" spans="1:26" ht="14.1" hidden="1" customHeight="1" x14ac:dyDescent="0.25">
      <c r="A24" s="109"/>
      <c r="B24" s="110"/>
      <c r="C24" s="644" t="s">
        <v>181</v>
      </c>
      <c r="D24" s="483"/>
      <c r="E24" s="476"/>
      <c r="F24" s="138">
        <v>0</v>
      </c>
      <c r="G24" s="146">
        <f>F24*C4</f>
        <v>0</v>
      </c>
      <c r="H24" s="644"/>
      <c r="I24" s="644"/>
      <c r="J24" s="644"/>
      <c r="K24" s="644"/>
      <c r="L24" s="644"/>
      <c r="M24" s="644"/>
      <c r="N24" s="644"/>
      <c r="O24" s="644"/>
      <c r="P24" s="644"/>
      <c r="Q24" s="644"/>
      <c r="R24" s="644"/>
      <c r="S24" s="644"/>
      <c r="T24" s="644"/>
      <c r="U24" s="644"/>
      <c r="V24" s="644"/>
      <c r="W24" s="644"/>
      <c r="X24" s="644"/>
      <c r="Y24" s="686"/>
      <c r="Z24" s="39"/>
    </row>
    <row r="25" spans="1:26" ht="14.1" hidden="1" customHeight="1" x14ac:dyDescent="0.25">
      <c r="A25" s="109"/>
      <c r="B25" s="110"/>
      <c r="C25" s="644" t="s">
        <v>182</v>
      </c>
      <c r="D25" s="483"/>
      <c r="E25" s="476"/>
      <c r="F25" s="138">
        <v>0</v>
      </c>
      <c r="G25" s="146">
        <f>F25*C4</f>
        <v>0</v>
      </c>
      <c r="H25" s="644"/>
      <c r="I25" s="644"/>
      <c r="J25" s="644"/>
      <c r="K25" s="644"/>
      <c r="L25" s="644"/>
      <c r="M25" s="644"/>
      <c r="N25" s="644"/>
      <c r="O25" s="644"/>
      <c r="P25" s="644"/>
      <c r="Q25" s="644"/>
      <c r="R25" s="644"/>
      <c r="S25" s="644"/>
      <c r="T25" s="644"/>
      <c r="U25" s="644"/>
      <c r="V25" s="644"/>
      <c r="W25" s="644"/>
      <c r="X25" s="644"/>
      <c r="Y25" s="686"/>
      <c r="Z25" s="39"/>
    </row>
    <row r="26" spans="1:26" ht="14.1" hidden="1" customHeight="1" x14ac:dyDescent="0.25">
      <c r="A26" s="109"/>
      <c r="B26" s="110"/>
      <c r="C26" s="644" t="s">
        <v>183</v>
      </c>
      <c r="D26" s="483"/>
      <c r="E26" s="476"/>
      <c r="F26" s="138">
        <v>0</v>
      </c>
      <c r="G26" s="146">
        <f>F26*C4</f>
        <v>0</v>
      </c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86"/>
      <c r="Z26" s="39"/>
    </row>
    <row r="27" spans="1:26" ht="14.1" hidden="1" customHeight="1" x14ac:dyDescent="0.25">
      <c r="A27" s="109"/>
      <c r="B27" s="110"/>
      <c r="C27" s="644" t="s">
        <v>184</v>
      </c>
      <c r="D27" s="483"/>
      <c r="E27" s="476"/>
      <c r="F27" s="138">
        <v>0</v>
      </c>
      <c r="G27" s="146">
        <f>F27*C4</f>
        <v>0</v>
      </c>
      <c r="H27" s="644"/>
      <c r="I27" s="644"/>
      <c r="J27" s="644"/>
      <c r="K27" s="644"/>
      <c r="L27" s="644"/>
      <c r="M27" s="644"/>
      <c r="N27" s="644"/>
      <c r="O27" s="644"/>
      <c r="P27" s="644"/>
      <c r="Q27" s="644"/>
      <c r="R27" s="644"/>
      <c r="S27" s="644"/>
      <c r="T27" s="644"/>
      <c r="U27" s="644"/>
      <c r="V27" s="644"/>
      <c r="W27" s="644"/>
      <c r="X27" s="644"/>
      <c r="Y27" s="686"/>
      <c r="Z27" s="39"/>
    </row>
    <row r="28" spans="1:26" ht="14.1" hidden="1" customHeight="1" x14ac:dyDescent="0.25">
      <c r="A28" s="103"/>
      <c r="B28" s="108" t="s">
        <v>173</v>
      </c>
      <c r="C28" s="474"/>
      <c r="D28" s="475"/>
      <c r="E28" s="476"/>
      <c r="F28" s="146">
        <f>SUM(F18:F27)</f>
        <v>0</v>
      </c>
      <c r="G28" s="146">
        <f>SUM(G18:G27)</f>
        <v>0</v>
      </c>
      <c r="H28" s="644"/>
      <c r="I28" s="644"/>
      <c r="J28" s="644"/>
      <c r="K28" s="644"/>
      <c r="L28" s="644"/>
      <c r="M28" s="644"/>
      <c r="N28" s="644"/>
      <c r="O28" s="644"/>
      <c r="P28" s="644"/>
      <c r="Q28" s="644"/>
      <c r="R28" s="644"/>
      <c r="S28" s="644"/>
      <c r="T28" s="644"/>
      <c r="U28" s="644"/>
      <c r="V28" s="644"/>
      <c r="W28" s="644"/>
      <c r="X28" s="644"/>
      <c r="Y28" s="686"/>
      <c r="Z28" s="39"/>
    </row>
    <row r="29" spans="1:26" ht="14.1" hidden="1" customHeight="1" x14ac:dyDescent="0.25">
      <c r="A29" s="103"/>
      <c r="B29" s="113"/>
      <c r="C29" s="474"/>
      <c r="D29" s="475"/>
      <c r="E29" s="476"/>
      <c r="F29" s="139"/>
      <c r="G29" s="146"/>
      <c r="H29" s="644"/>
      <c r="I29" s="644"/>
      <c r="J29" s="644"/>
      <c r="K29" s="644"/>
      <c r="L29" s="644"/>
      <c r="M29" s="644"/>
      <c r="N29" s="644"/>
      <c r="O29" s="644"/>
      <c r="P29" s="644"/>
      <c r="Q29" s="644"/>
      <c r="R29" s="644"/>
      <c r="S29" s="644"/>
      <c r="T29" s="644"/>
      <c r="U29" s="644"/>
      <c r="V29" s="644"/>
      <c r="W29" s="644"/>
      <c r="X29" s="644"/>
      <c r="Y29" s="686"/>
      <c r="Z29" s="39"/>
    </row>
    <row r="30" spans="1:26" ht="14.1" hidden="1" customHeight="1" x14ac:dyDescent="0.25">
      <c r="A30" s="103" t="s">
        <v>34</v>
      </c>
      <c r="B30" s="39"/>
      <c r="C30" s="474"/>
      <c r="D30" s="475"/>
      <c r="E30" s="476"/>
      <c r="F30" s="139"/>
      <c r="G30" s="146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86"/>
      <c r="Z30" s="39"/>
    </row>
    <row r="31" spans="1:26" ht="14.1" hidden="1" customHeight="1" x14ac:dyDescent="0.25">
      <c r="A31" s="103" t="s">
        <v>32</v>
      </c>
      <c r="B31" s="108" t="s">
        <v>33</v>
      </c>
      <c r="C31" s="474" t="s">
        <v>174</v>
      </c>
      <c r="D31" s="475"/>
      <c r="E31" s="476"/>
      <c r="F31" s="139"/>
      <c r="G31" s="146"/>
      <c r="H31" s="644"/>
      <c r="I31" s="644"/>
      <c r="J31" s="644"/>
      <c r="K31" s="644"/>
      <c r="L31" s="644"/>
      <c r="M31" s="644"/>
      <c r="N31" s="644"/>
      <c r="O31" s="644"/>
      <c r="P31" s="644"/>
      <c r="Q31" s="644"/>
      <c r="R31" s="644"/>
      <c r="S31" s="644"/>
      <c r="T31" s="644"/>
      <c r="U31" s="644"/>
      <c r="V31" s="644"/>
      <c r="W31" s="644"/>
      <c r="X31" s="644"/>
      <c r="Y31" s="686"/>
      <c r="Z31" s="39"/>
    </row>
    <row r="32" spans="1:26" ht="14.1" hidden="1" customHeight="1" x14ac:dyDescent="0.25">
      <c r="A32" s="114"/>
      <c r="B32" s="110"/>
      <c r="C32" s="488"/>
      <c r="D32" s="475"/>
      <c r="E32" s="476"/>
      <c r="F32" s="138">
        <v>0</v>
      </c>
      <c r="G32" s="146">
        <f>(C4)*F32</f>
        <v>0</v>
      </c>
      <c r="H32" s="644"/>
      <c r="I32" s="644"/>
      <c r="J32" s="644"/>
      <c r="K32" s="644"/>
      <c r="L32" s="644"/>
      <c r="M32" s="644"/>
      <c r="N32" s="644"/>
      <c r="O32" s="644"/>
      <c r="P32" s="644"/>
      <c r="Q32" s="644"/>
      <c r="R32" s="644"/>
      <c r="S32" s="644"/>
      <c r="T32" s="644"/>
      <c r="U32" s="644"/>
      <c r="V32" s="644"/>
      <c r="W32" s="644"/>
      <c r="X32" s="644"/>
      <c r="Y32" s="686"/>
      <c r="Z32" s="39"/>
    </row>
    <row r="33" spans="1:26" ht="14.1" hidden="1" customHeight="1" x14ac:dyDescent="0.25">
      <c r="A33" s="114"/>
      <c r="B33" s="110"/>
      <c r="C33" s="488"/>
      <c r="D33" s="475"/>
      <c r="E33" s="476"/>
      <c r="F33" s="138">
        <v>0</v>
      </c>
      <c r="G33" s="146">
        <f>F33*C4</f>
        <v>0</v>
      </c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44"/>
      <c r="X33" s="644"/>
      <c r="Y33" s="686"/>
      <c r="Z33" s="39"/>
    </row>
    <row r="34" spans="1:26" ht="14.1" hidden="1" customHeight="1" x14ac:dyDescent="0.25">
      <c r="A34" s="114"/>
      <c r="B34" s="110"/>
      <c r="C34" s="488"/>
      <c r="D34" s="475"/>
      <c r="E34" s="476"/>
      <c r="F34" s="138">
        <v>0</v>
      </c>
      <c r="G34" s="146">
        <f>F34*C4</f>
        <v>0</v>
      </c>
      <c r="H34" s="644"/>
      <c r="I34" s="644"/>
      <c r="J34" s="644"/>
      <c r="K34" s="644"/>
      <c r="L34" s="644"/>
      <c r="M34" s="644"/>
      <c r="N34" s="644"/>
      <c r="O34" s="644"/>
      <c r="P34" s="644"/>
      <c r="Q34" s="644"/>
      <c r="R34" s="644"/>
      <c r="S34" s="644"/>
      <c r="T34" s="644"/>
      <c r="U34" s="644"/>
      <c r="V34" s="644"/>
      <c r="W34" s="644"/>
      <c r="X34" s="644"/>
      <c r="Y34" s="686"/>
      <c r="Z34" s="39"/>
    </row>
    <row r="35" spans="1:26" ht="14.1" hidden="1" customHeight="1" x14ac:dyDescent="0.25">
      <c r="A35" s="114"/>
      <c r="B35" s="110"/>
      <c r="C35" s="488"/>
      <c r="D35" s="475"/>
      <c r="E35" s="476"/>
      <c r="F35" s="138">
        <v>0</v>
      </c>
      <c r="G35" s="146">
        <f>F35*C4</f>
        <v>0</v>
      </c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86"/>
      <c r="Z35" s="39"/>
    </row>
    <row r="36" spans="1:26" ht="14.1" hidden="1" customHeight="1" x14ac:dyDescent="0.25">
      <c r="A36" s="114"/>
      <c r="B36" s="110"/>
      <c r="C36" s="488"/>
      <c r="D36" s="475"/>
      <c r="E36" s="476"/>
      <c r="F36" s="138">
        <v>0</v>
      </c>
      <c r="G36" s="146">
        <f>F36*C4</f>
        <v>0</v>
      </c>
      <c r="H36" s="644"/>
      <c r="I36" s="644"/>
      <c r="J36" s="644"/>
      <c r="K36" s="644"/>
      <c r="L36" s="644"/>
      <c r="M36" s="644"/>
      <c r="N36" s="644"/>
      <c r="O36" s="644"/>
      <c r="P36" s="644"/>
      <c r="Q36" s="644"/>
      <c r="R36" s="644"/>
      <c r="S36" s="644"/>
      <c r="T36" s="644"/>
      <c r="U36" s="644"/>
      <c r="V36" s="644"/>
      <c r="W36" s="644"/>
      <c r="X36" s="644"/>
      <c r="Y36" s="686"/>
      <c r="Z36" s="39"/>
    </row>
    <row r="37" spans="1:26" ht="14.1" hidden="1" customHeight="1" x14ac:dyDescent="0.25">
      <c r="A37" s="114"/>
      <c r="B37" s="110"/>
      <c r="C37" s="488"/>
      <c r="D37" s="475"/>
      <c r="E37" s="476"/>
      <c r="F37" s="138">
        <v>0</v>
      </c>
      <c r="G37" s="146">
        <f>F37*C4</f>
        <v>0</v>
      </c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86"/>
      <c r="Z37" s="39"/>
    </row>
    <row r="38" spans="1:26" ht="14.1" hidden="1" customHeight="1" x14ac:dyDescent="0.25">
      <c r="A38" s="114"/>
      <c r="B38" s="110"/>
      <c r="C38" s="488"/>
      <c r="D38" s="475"/>
      <c r="E38" s="476"/>
      <c r="F38" s="138">
        <v>0</v>
      </c>
      <c r="G38" s="146">
        <f>F38*C4</f>
        <v>0</v>
      </c>
      <c r="H38" s="644"/>
      <c r="I38" s="644"/>
      <c r="J38" s="644"/>
      <c r="K38" s="644"/>
      <c r="L38" s="644"/>
      <c r="M38" s="644"/>
      <c r="N38" s="644"/>
      <c r="O38" s="644"/>
      <c r="P38" s="644"/>
      <c r="Q38" s="644"/>
      <c r="R38" s="644"/>
      <c r="S38" s="644"/>
      <c r="T38" s="644"/>
      <c r="U38" s="644"/>
      <c r="V38" s="644"/>
      <c r="W38" s="644"/>
      <c r="X38" s="644"/>
      <c r="Y38" s="686"/>
      <c r="Z38" s="39"/>
    </row>
    <row r="39" spans="1:26" ht="14.1" hidden="1" customHeight="1" x14ac:dyDescent="0.25">
      <c r="A39" s="114"/>
      <c r="B39" s="110"/>
      <c r="C39" s="488"/>
      <c r="D39" s="475"/>
      <c r="E39" s="476"/>
      <c r="F39" s="138">
        <v>0</v>
      </c>
      <c r="G39" s="146">
        <f>F39*C4</f>
        <v>0</v>
      </c>
      <c r="H39" s="644"/>
      <c r="I39" s="644"/>
      <c r="J39" s="644"/>
      <c r="K39" s="644"/>
      <c r="L39" s="644"/>
      <c r="M39" s="644"/>
      <c r="N39" s="644"/>
      <c r="O39" s="644"/>
      <c r="P39" s="644"/>
      <c r="Q39" s="644"/>
      <c r="R39" s="644"/>
      <c r="S39" s="644"/>
      <c r="T39" s="644"/>
      <c r="U39" s="644"/>
      <c r="V39" s="644"/>
      <c r="W39" s="644"/>
      <c r="X39" s="644"/>
      <c r="Y39" s="686"/>
      <c r="Z39" s="39"/>
    </row>
    <row r="40" spans="1:26" ht="14.1" hidden="1" customHeight="1" x14ac:dyDescent="0.25">
      <c r="A40" s="114"/>
      <c r="B40" s="110"/>
      <c r="C40" s="488"/>
      <c r="D40" s="475"/>
      <c r="E40" s="476"/>
      <c r="F40" s="138">
        <v>0</v>
      </c>
      <c r="G40" s="146">
        <f>F40*C4</f>
        <v>0</v>
      </c>
      <c r="H40" s="644"/>
      <c r="I40" s="644"/>
      <c r="J40" s="644"/>
      <c r="K40" s="644"/>
      <c r="L40" s="644"/>
      <c r="M40" s="644"/>
      <c r="N40" s="644"/>
      <c r="O40" s="644"/>
      <c r="P40" s="644"/>
      <c r="Q40" s="644"/>
      <c r="R40" s="644"/>
      <c r="S40" s="644"/>
      <c r="T40" s="644"/>
      <c r="U40" s="644"/>
      <c r="V40" s="644"/>
      <c r="W40" s="644"/>
      <c r="X40" s="644"/>
      <c r="Y40" s="686"/>
      <c r="Z40" s="39"/>
    </row>
    <row r="41" spans="1:26" ht="14.1" hidden="1" customHeight="1" x14ac:dyDescent="0.25">
      <c r="A41" s="114"/>
      <c r="B41" s="110"/>
      <c r="C41" s="488"/>
      <c r="D41" s="475"/>
      <c r="E41" s="476"/>
      <c r="F41" s="138">
        <v>0</v>
      </c>
      <c r="G41" s="146">
        <f>F41*C4</f>
        <v>0</v>
      </c>
      <c r="H41" s="644"/>
      <c r="I41" s="644"/>
      <c r="J41" s="644"/>
      <c r="K41" s="644"/>
      <c r="L41" s="644"/>
      <c r="M41" s="644"/>
      <c r="N41" s="644"/>
      <c r="O41" s="644"/>
      <c r="P41" s="644"/>
      <c r="Q41" s="644"/>
      <c r="R41" s="644"/>
      <c r="S41" s="644"/>
      <c r="T41" s="644"/>
      <c r="U41" s="644"/>
      <c r="V41" s="644"/>
      <c r="W41" s="644"/>
      <c r="X41" s="644"/>
      <c r="Y41" s="686"/>
      <c r="Z41" s="39"/>
    </row>
    <row r="42" spans="1:26" ht="14.1" hidden="1" customHeight="1" x14ac:dyDescent="0.25">
      <c r="A42" s="103"/>
      <c r="B42" s="108" t="s">
        <v>173</v>
      </c>
      <c r="C42" s="474"/>
      <c r="D42" s="475"/>
      <c r="E42" s="476"/>
      <c r="F42" s="146">
        <f>SUM(F32:F41)</f>
        <v>0</v>
      </c>
      <c r="G42" s="146">
        <f>SUM(G32:G41)</f>
        <v>0</v>
      </c>
      <c r="H42" s="644"/>
      <c r="I42" s="644"/>
      <c r="J42" s="644"/>
      <c r="K42" s="644"/>
      <c r="L42" s="644"/>
      <c r="M42" s="644"/>
      <c r="N42" s="644"/>
      <c r="O42" s="644"/>
      <c r="P42" s="644"/>
      <c r="Q42" s="644"/>
      <c r="R42" s="644"/>
      <c r="S42" s="644"/>
      <c r="T42" s="644"/>
      <c r="U42" s="644"/>
      <c r="V42" s="644"/>
      <c r="W42" s="644"/>
      <c r="X42" s="644"/>
      <c r="Y42" s="686"/>
      <c r="Z42" s="39"/>
    </row>
    <row r="43" spans="1:26" ht="14.1" hidden="1" customHeight="1" x14ac:dyDescent="0.25">
      <c r="A43" s="103"/>
      <c r="B43" s="103" t="s">
        <v>64</v>
      </c>
      <c r="C43" s="474"/>
      <c r="D43" s="475"/>
      <c r="E43" s="476"/>
      <c r="F43" s="138">
        <v>0</v>
      </c>
      <c r="G43" s="146">
        <f>F43*C4</f>
        <v>0</v>
      </c>
      <c r="H43" s="644"/>
      <c r="I43" s="644"/>
      <c r="J43" s="644"/>
      <c r="K43" s="644"/>
      <c r="L43" s="644"/>
      <c r="M43" s="644"/>
      <c r="N43" s="644"/>
      <c r="O43" s="644"/>
      <c r="P43" s="644"/>
      <c r="Q43" s="644"/>
      <c r="R43" s="644"/>
      <c r="S43" s="644"/>
      <c r="T43" s="644"/>
      <c r="U43" s="644"/>
      <c r="V43" s="644"/>
      <c r="W43" s="644"/>
      <c r="X43" s="644"/>
      <c r="Y43" s="686"/>
      <c r="Z43" s="39"/>
    </row>
    <row r="44" spans="1:26" ht="14.1" hidden="1" customHeight="1" x14ac:dyDescent="0.25">
      <c r="A44" s="103"/>
      <c r="B44" s="39"/>
      <c r="C44" s="474"/>
      <c r="D44" s="475"/>
      <c r="E44" s="476"/>
      <c r="F44" s="146"/>
      <c r="G44" s="146"/>
      <c r="H44" s="644"/>
      <c r="I44" s="644"/>
      <c r="J44" s="644"/>
      <c r="K44" s="644"/>
      <c r="L44" s="644"/>
      <c r="M44" s="644"/>
      <c r="N44" s="644"/>
      <c r="O44" s="644"/>
      <c r="P44" s="644"/>
      <c r="Q44" s="644"/>
      <c r="R44" s="644"/>
      <c r="S44" s="644"/>
      <c r="T44" s="644"/>
      <c r="U44" s="644"/>
      <c r="V44" s="644"/>
      <c r="W44" s="644"/>
      <c r="X44" s="644"/>
      <c r="Y44" s="686"/>
      <c r="Z44" s="39"/>
    </row>
    <row r="45" spans="1:26" ht="14.1" hidden="1" customHeight="1" x14ac:dyDescent="0.25">
      <c r="A45" s="103" t="s">
        <v>35</v>
      </c>
      <c r="B45" s="39"/>
      <c r="C45" s="474"/>
      <c r="D45" s="475"/>
      <c r="E45" s="476"/>
      <c r="F45" s="139"/>
      <c r="G45" s="146"/>
      <c r="H45" s="644"/>
      <c r="I45" s="644"/>
      <c r="J45" s="644"/>
      <c r="K45" s="644"/>
      <c r="L45" s="644"/>
      <c r="M45" s="644"/>
      <c r="N45" s="644"/>
      <c r="O45" s="644"/>
      <c r="P45" s="644"/>
      <c r="Q45" s="644"/>
      <c r="R45" s="644"/>
      <c r="S45" s="644"/>
      <c r="T45" s="644"/>
      <c r="U45" s="644"/>
      <c r="V45" s="644"/>
      <c r="W45" s="644"/>
      <c r="X45" s="644"/>
      <c r="Y45" s="686"/>
      <c r="Z45" s="39"/>
    </row>
    <row r="46" spans="1:26" ht="14.1" hidden="1" customHeight="1" x14ac:dyDescent="0.25">
      <c r="A46" s="103" t="s">
        <v>32</v>
      </c>
      <c r="B46" s="108" t="s">
        <v>33</v>
      </c>
      <c r="C46" s="474" t="s">
        <v>174</v>
      </c>
      <c r="D46" s="475"/>
      <c r="E46" s="476"/>
      <c r="F46" s="139"/>
      <c r="G46" s="146"/>
      <c r="H46" s="644"/>
      <c r="I46" s="644"/>
      <c r="J46" s="644"/>
      <c r="K46" s="644"/>
      <c r="L46" s="644"/>
      <c r="M46" s="644"/>
      <c r="N46" s="644"/>
      <c r="O46" s="644"/>
      <c r="P46" s="644"/>
      <c r="Q46" s="644"/>
      <c r="R46" s="644"/>
      <c r="S46" s="644"/>
      <c r="T46" s="644"/>
      <c r="U46" s="644"/>
      <c r="V46" s="644"/>
      <c r="W46" s="644"/>
      <c r="X46" s="644"/>
      <c r="Y46" s="686"/>
      <c r="Z46" s="39"/>
    </row>
    <row r="47" spans="1:26" ht="14.1" hidden="1" customHeight="1" x14ac:dyDescent="0.25">
      <c r="A47" s="114"/>
      <c r="B47" s="110"/>
      <c r="C47" s="488"/>
      <c r="D47" s="475"/>
      <c r="E47" s="476"/>
      <c r="F47" s="138">
        <v>0</v>
      </c>
      <c r="G47" s="146">
        <f>F47*C4</f>
        <v>0</v>
      </c>
      <c r="H47" s="644"/>
      <c r="I47" s="644"/>
      <c r="J47" s="644"/>
      <c r="K47" s="644"/>
      <c r="L47" s="644"/>
      <c r="M47" s="644"/>
      <c r="N47" s="644"/>
      <c r="O47" s="644"/>
      <c r="P47" s="644"/>
      <c r="Q47" s="644"/>
      <c r="R47" s="644"/>
      <c r="S47" s="644"/>
      <c r="T47" s="644"/>
      <c r="U47" s="644"/>
      <c r="V47" s="644"/>
      <c r="W47" s="644"/>
      <c r="X47" s="644"/>
      <c r="Y47" s="686"/>
      <c r="Z47" s="39"/>
    </row>
    <row r="48" spans="1:26" ht="14.1" hidden="1" customHeight="1" x14ac:dyDescent="0.25">
      <c r="A48" s="114"/>
      <c r="B48" s="110"/>
      <c r="C48" s="488"/>
      <c r="D48" s="475"/>
      <c r="E48" s="476"/>
      <c r="F48" s="138">
        <v>0</v>
      </c>
      <c r="G48" s="146">
        <f>F48*C4</f>
        <v>0</v>
      </c>
      <c r="H48" s="644"/>
      <c r="I48" s="644"/>
      <c r="J48" s="644"/>
      <c r="K48" s="644"/>
      <c r="L48" s="644"/>
      <c r="M48" s="644"/>
      <c r="N48" s="644"/>
      <c r="O48" s="644"/>
      <c r="P48" s="644"/>
      <c r="Q48" s="644"/>
      <c r="R48" s="644"/>
      <c r="S48" s="644"/>
      <c r="T48" s="644"/>
      <c r="U48" s="644"/>
      <c r="V48" s="644"/>
      <c r="W48" s="644"/>
      <c r="X48" s="644"/>
      <c r="Y48" s="686"/>
      <c r="Z48" s="39"/>
    </row>
    <row r="49" spans="1:26" ht="14.1" hidden="1" customHeight="1" x14ac:dyDescent="0.25">
      <c r="A49" s="114"/>
      <c r="B49" s="110"/>
      <c r="C49" s="488"/>
      <c r="D49" s="475"/>
      <c r="E49" s="476"/>
      <c r="F49" s="138">
        <v>0</v>
      </c>
      <c r="G49" s="146">
        <f>F49*C4</f>
        <v>0</v>
      </c>
      <c r="H49" s="644"/>
      <c r="I49" s="644"/>
      <c r="J49" s="644"/>
      <c r="K49" s="644"/>
      <c r="L49" s="644"/>
      <c r="M49" s="644"/>
      <c r="N49" s="644"/>
      <c r="O49" s="644"/>
      <c r="P49" s="644"/>
      <c r="Q49" s="644"/>
      <c r="R49" s="644"/>
      <c r="S49" s="644"/>
      <c r="T49" s="644"/>
      <c r="U49" s="644"/>
      <c r="V49" s="644"/>
      <c r="W49" s="644"/>
      <c r="X49" s="644"/>
      <c r="Y49" s="686"/>
      <c r="Z49" s="39"/>
    </row>
    <row r="50" spans="1:26" ht="14.1" hidden="1" customHeight="1" x14ac:dyDescent="0.25">
      <c r="A50" s="114"/>
      <c r="B50" s="110"/>
      <c r="C50" s="488"/>
      <c r="D50" s="475"/>
      <c r="E50" s="476"/>
      <c r="F50" s="138">
        <v>0</v>
      </c>
      <c r="G50" s="146">
        <f>F50*C4</f>
        <v>0</v>
      </c>
      <c r="H50" s="644"/>
      <c r="I50" s="644"/>
      <c r="J50" s="644"/>
      <c r="K50" s="644"/>
      <c r="L50" s="644"/>
      <c r="M50" s="644"/>
      <c r="N50" s="644"/>
      <c r="O50" s="644"/>
      <c r="P50" s="644"/>
      <c r="Q50" s="644"/>
      <c r="R50" s="644"/>
      <c r="S50" s="644"/>
      <c r="T50" s="644"/>
      <c r="U50" s="644"/>
      <c r="V50" s="644"/>
      <c r="W50" s="644"/>
      <c r="X50" s="644"/>
      <c r="Y50" s="686"/>
      <c r="Z50" s="39"/>
    </row>
    <row r="51" spans="1:26" ht="14.1" hidden="1" customHeight="1" x14ac:dyDescent="0.25">
      <c r="A51" s="114"/>
      <c r="B51" s="110"/>
      <c r="C51" s="488"/>
      <c r="D51" s="475"/>
      <c r="E51" s="476"/>
      <c r="F51" s="138">
        <v>0</v>
      </c>
      <c r="G51" s="146">
        <f>F51*C4</f>
        <v>0</v>
      </c>
      <c r="H51" s="644"/>
      <c r="I51" s="644"/>
      <c r="J51" s="644"/>
      <c r="K51" s="644"/>
      <c r="L51" s="644"/>
      <c r="M51" s="644"/>
      <c r="N51" s="644"/>
      <c r="O51" s="644"/>
      <c r="P51" s="644"/>
      <c r="Q51" s="644"/>
      <c r="R51" s="644"/>
      <c r="S51" s="644"/>
      <c r="T51" s="644"/>
      <c r="U51" s="644"/>
      <c r="V51" s="644"/>
      <c r="W51" s="644"/>
      <c r="X51" s="644"/>
      <c r="Y51" s="686"/>
      <c r="Z51" s="39"/>
    </row>
    <row r="52" spans="1:26" ht="14.1" hidden="1" customHeight="1" x14ac:dyDescent="0.25">
      <c r="A52" s="114"/>
      <c r="B52" s="110"/>
      <c r="C52" s="488"/>
      <c r="D52" s="475"/>
      <c r="E52" s="476"/>
      <c r="F52" s="138">
        <v>0</v>
      </c>
      <c r="G52" s="146">
        <f>F52*C4</f>
        <v>0</v>
      </c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86"/>
      <c r="Z52" s="39"/>
    </row>
    <row r="53" spans="1:26" ht="14.1" hidden="1" customHeight="1" x14ac:dyDescent="0.25">
      <c r="A53" s="114"/>
      <c r="B53" s="110"/>
      <c r="C53" s="488"/>
      <c r="D53" s="475"/>
      <c r="E53" s="476"/>
      <c r="F53" s="138">
        <v>0</v>
      </c>
      <c r="G53" s="146">
        <f>F53*C4</f>
        <v>0</v>
      </c>
      <c r="H53" s="644"/>
      <c r="I53" s="644"/>
      <c r="J53" s="644"/>
      <c r="K53" s="644"/>
      <c r="L53" s="644"/>
      <c r="M53" s="644"/>
      <c r="N53" s="644"/>
      <c r="O53" s="644"/>
      <c r="P53" s="644"/>
      <c r="Q53" s="644"/>
      <c r="R53" s="644"/>
      <c r="S53" s="644"/>
      <c r="T53" s="644"/>
      <c r="U53" s="644"/>
      <c r="V53" s="644"/>
      <c r="W53" s="644"/>
      <c r="X53" s="644"/>
      <c r="Y53" s="686"/>
      <c r="Z53" s="39"/>
    </row>
    <row r="54" spans="1:26" ht="14.1" hidden="1" customHeight="1" x14ac:dyDescent="0.25">
      <c r="A54" s="114"/>
      <c r="B54" s="110"/>
      <c r="C54" s="488"/>
      <c r="D54" s="475"/>
      <c r="E54" s="476"/>
      <c r="F54" s="138">
        <v>0</v>
      </c>
      <c r="G54" s="146">
        <f>F54*C4</f>
        <v>0</v>
      </c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86"/>
      <c r="Z54" s="39"/>
    </row>
    <row r="55" spans="1:26" ht="14.1" hidden="1" customHeight="1" x14ac:dyDescent="0.25">
      <c r="A55" s="114"/>
      <c r="B55" s="110"/>
      <c r="C55" s="488"/>
      <c r="D55" s="475"/>
      <c r="E55" s="476"/>
      <c r="F55" s="138">
        <v>0</v>
      </c>
      <c r="G55" s="146">
        <f>F55*C4</f>
        <v>0</v>
      </c>
      <c r="H55" s="644"/>
      <c r="I55" s="644"/>
      <c r="J55" s="644"/>
      <c r="K55" s="644"/>
      <c r="L55" s="644"/>
      <c r="M55" s="644"/>
      <c r="N55" s="644"/>
      <c r="O55" s="644"/>
      <c r="P55" s="644"/>
      <c r="Q55" s="644"/>
      <c r="R55" s="644"/>
      <c r="S55" s="644"/>
      <c r="T55" s="644"/>
      <c r="U55" s="644"/>
      <c r="V55" s="644"/>
      <c r="W55" s="644"/>
      <c r="X55" s="644"/>
      <c r="Y55" s="686"/>
      <c r="Z55" s="39"/>
    </row>
    <row r="56" spans="1:26" ht="14.1" hidden="1" customHeight="1" x14ac:dyDescent="0.25">
      <c r="A56" s="114"/>
      <c r="B56" s="110"/>
      <c r="C56" s="488"/>
      <c r="D56" s="475"/>
      <c r="E56" s="476"/>
      <c r="F56" s="138">
        <v>0</v>
      </c>
      <c r="G56" s="146">
        <f>F56*C4</f>
        <v>0</v>
      </c>
      <c r="H56" s="644"/>
      <c r="I56" s="644"/>
      <c r="J56" s="644"/>
      <c r="K56" s="644"/>
      <c r="L56" s="644"/>
      <c r="M56" s="644"/>
      <c r="N56" s="644"/>
      <c r="O56" s="644"/>
      <c r="P56" s="644"/>
      <c r="Q56" s="644"/>
      <c r="R56" s="644"/>
      <c r="S56" s="644"/>
      <c r="T56" s="644"/>
      <c r="U56" s="644"/>
      <c r="V56" s="644"/>
      <c r="W56" s="644"/>
      <c r="X56" s="644"/>
      <c r="Y56" s="686"/>
      <c r="Z56" s="39"/>
    </row>
    <row r="57" spans="1:26" ht="14.1" hidden="1" customHeight="1" x14ac:dyDescent="0.25">
      <c r="A57" s="103"/>
      <c r="B57" s="108" t="s">
        <v>173</v>
      </c>
      <c r="C57" s="474"/>
      <c r="D57" s="475"/>
      <c r="E57" s="476"/>
      <c r="F57" s="139">
        <f>SUM(F47:F56)</f>
        <v>0</v>
      </c>
      <c r="G57" s="146">
        <f>SUM(G47:G56)</f>
        <v>0</v>
      </c>
      <c r="H57" s="644"/>
      <c r="I57" s="644"/>
      <c r="J57" s="644"/>
      <c r="K57" s="644"/>
      <c r="L57" s="644"/>
      <c r="M57" s="644"/>
      <c r="N57" s="644"/>
      <c r="O57" s="644"/>
      <c r="P57" s="644"/>
      <c r="Q57" s="644"/>
      <c r="R57" s="644"/>
      <c r="S57" s="644"/>
      <c r="T57" s="644"/>
      <c r="U57" s="644"/>
      <c r="V57" s="644"/>
      <c r="W57" s="644"/>
      <c r="X57" s="644"/>
      <c r="Y57" s="686"/>
      <c r="Z57" s="39"/>
    </row>
    <row r="58" spans="1:26" ht="14.1" hidden="1" customHeight="1" x14ac:dyDescent="0.25">
      <c r="A58" s="103"/>
      <c r="B58" s="39"/>
      <c r="C58" s="474"/>
      <c r="D58" s="475"/>
      <c r="E58" s="476"/>
      <c r="F58" s="139"/>
      <c r="G58" s="146"/>
      <c r="H58" s="644"/>
      <c r="I58" s="644"/>
      <c r="J58" s="644"/>
      <c r="K58" s="644"/>
      <c r="L58" s="644"/>
      <c r="M58" s="644"/>
      <c r="N58" s="644"/>
      <c r="O58" s="644"/>
      <c r="P58" s="644"/>
      <c r="Q58" s="644"/>
      <c r="R58" s="644"/>
      <c r="S58" s="644"/>
      <c r="T58" s="644"/>
      <c r="U58" s="644"/>
      <c r="V58" s="644"/>
      <c r="W58" s="644"/>
      <c r="X58" s="644"/>
      <c r="Y58" s="686"/>
      <c r="Z58" s="39"/>
    </row>
    <row r="59" spans="1:26" ht="14.1" hidden="1" customHeight="1" x14ac:dyDescent="0.25">
      <c r="A59" s="103" t="s">
        <v>22</v>
      </c>
      <c r="B59" s="39"/>
      <c r="C59" s="474"/>
      <c r="D59" s="475"/>
      <c r="E59" s="476"/>
      <c r="F59" s="146"/>
      <c r="G59" s="146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86"/>
      <c r="Z59" s="39"/>
    </row>
    <row r="60" spans="1:26" ht="14.1" hidden="1" customHeight="1" x14ac:dyDescent="0.25">
      <c r="A60" s="103" t="s">
        <v>32</v>
      </c>
      <c r="B60" s="108" t="s">
        <v>33</v>
      </c>
      <c r="C60" s="474" t="s">
        <v>174</v>
      </c>
      <c r="D60" s="475"/>
      <c r="E60" s="476"/>
      <c r="F60" s="139"/>
      <c r="G60" s="146"/>
      <c r="H60" s="644"/>
      <c r="I60" s="644"/>
      <c r="J60" s="644"/>
      <c r="K60" s="644"/>
      <c r="L60" s="644"/>
      <c r="M60" s="644"/>
      <c r="N60" s="644"/>
      <c r="O60" s="644"/>
      <c r="P60" s="644"/>
      <c r="Q60" s="644"/>
      <c r="R60" s="644"/>
      <c r="S60" s="644"/>
      <c r="T60" s="644"/>
      <c r="U60" s="644"/>
      <c r="V60" s="644"/>
      <c r="W60" s="644"/>
      <c r="X60" s="644"/>
      <c r="Y60" s="686"/>
      <c r="Z60" s="39"/>
    </row>
    <row r="61" spans="1:26" ht="14.1" hidden="1" customHeight="1" x14ac:dyDescent="0.25">
      <c r="A61" s="114"/>
      <c r="B61" s="110"/>
      <c r="C61" s="488"/>
      <c r="D61" s="475"/>
      <c r="E61" s="476"/>
      <c r="F61" s="138">
        <v>0</v>
      </c>
      <c r="G61" s="146">
        <f>F61*C4</f>
        <v>0</v>
      </c>
      <c r="H61" s="644"/>
      <c r="I61" s="644"/>
      <c r="J61" s="644"/>
      <c r="K61" s="644"/>
      <c r="L61" s="644"/>
      <c r="M61" s="644"/>
      <c r="N61" s="644"/>
      <c r="O61" s="644"/>
      <c r="P61" s="644"/>
      <c r="Q61" s="644"/>
      <c r="R61" s="644"/>
      <c r="S61" s="644"/>
      <c r="T61" s="644"/>
      <c r="U61" s="644"/>
      <c r="V61" s="644"/>
      <c r="W61" s="644"/>
      <c r="X61" s="644"/>
      <c r="Y61" s="686"/>
      <c r="Z61" s="39"/>
    </row>
    <row r="62" spans="1:26" ht="14.1" hidden="1" customHeight="1" x14ac:dyDescent="0.25">
      <c r="A62" s="114"/>
      <c r="B62" s="110"/>
      <c r="C62" s="488"/>
      <c r="D62" s="475"/>
      <c r="E62" s="476"/>
      <c r="F62" s="138">
        <v>0</v>
      </c>
      <c r="G62" s="146">
        <f>F62*C4</f>
        <v>0</v>
      </c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86"/>
      <c r="Z62" s="39"/>
    </row>
    <row r="63" spans="1:26" ht="14.1" hidden="1" customHeight="1" x14ac:dyDescent="0.25">
      <c r="A63" s="114"/>
      <c r="B63" s="110"/>
      <c r="C63" s="488"/>
      <c r="D63" s="475"/>
      <c r="E63" s="476"/>
      <c r="F63" s="138">
        <v>0</v>
      </c>
      <c r="G63" s="146">
        <f>F63*C4</f>
        <v>0</v>
      </c>
      <c r="H63" s="644"/>
      <c r="I63" s="644"/>
      <c r="J63" s="644"/>
      <c r="K63" s="644"/>
      <c r="L63" s="644"/>
      <c r="M63" s="644"/>
      <c r="N63" s="644"/>
      <c r="O63" s="644"/>
      <c r="P63" s="644"/>
      <c r="Q63" s="644"/>
      <c r="R63" s="644"/>
      <c r="S63" s="644"/>
      <c r="T63" s="644"/>
      <c r="U63" s="644"/>
      <c r="V63" s="644"/>
      <c r="W63" s="644"/>
      <c r="X63" s="644"/>
      <c r="Y63" s="686"/>
      <c r="Z63" s="39"/>
    </row>
    <row r="64" spans="1:26" ht="14.1" hidden="1" customHeight="1" x14ac:dyDescent="0.25">
      <c r="A64" s="114"/>
      <c r="B64" s="110"/>
      <c r="C64" s="488"/>
      <c r="D64" s="475"/>
      <c r="E64" s="476"/>
      <c r="F64" s="138">
        <v>0</v>
      </c>
      <c r="G64" s="146">
        <f>F64*C4</f>
        <v>0</v>
      </c>
      <c r="H64" s="644"/>
      <c r="I64" s="644"/>
      <c r="J64" s="644"/>
      <c r="K64" s="644"/>
      <c r="L64" s="644"/>
      <c r="M64" s="644"/>
      <c r="N64" s="644"/>
      <c r="O64" s="644"/>
      <c r="P64" s="644"/>
      <c r="Q64" s="644"/>
      <c r="R64" s="644"/>
      <c r="S64" s="644"/>
      <c r="T64" s="644"/>
      <c r="U64" s="644"/>
      <c r="V64" s="644"/>
      <c r="W64" s="644"/>
      <c r="X64" s="644"/>
      <c r="Y64" s="686"/>
      <c r="Z64" s="39"/>
    </row>
    <row r="65" spans="1:26" ht="14.1" hidden="1" customHeight="1" x14ac:dyDescent="0.25">
      <c r="A65" s="114"/>
      <c r="B65" s="110"/>
      <c r="C65" s="488"/>
      <c r="D65" s="475"/>
      <c r="E65" s="476"/>
      <c r="F65" s="138">
        <v>0</v>
      </c>
      <c r="G65" s="146">
        <f>F65*C4</f>
        <v>0</v>
      </c>
      <c r="H65" s="644"/>
      <c r="I65" s="644"/>
      <c r="J65" s="644"/>
      <c r="K65" s="644"/>
      <c r="L65" s="644"/>
      <c r="M65" s="644"/>
      <c r="N65" s="644"/>
      <c r="O65" s="644"/>
      <c r="P65" s="644"/>
      <c r="Q65" s="644"/>
      <c r="R65" s="644"/>
      <c r="S65" s="644"/>
      <c r="T65" s="644"/>
      <c r="U65" s="644"/>
      <c r="V65" s="644"/>
      <c r="W65" s="644"/>
      <c r="X65" s="644"/>
      <c r="Y65" s="686"/>
      <c r="Z65" s="39"/>
    </row>
    <row r="66" spans="1:26" ht="14.1" hidden="1" customHeight="1" x14ac:dyDescent="0.25">
      <c r="A66" s="114"/>
      <c r="B66" s="110"/>
      <c r="C66" s="488"/>
      <c r="D66" s="475"/>
      <c r="E66" s="476"/>
      <c r="F66" s="138">
        <v>0</v>
      </c>
      <c r="G66" s="146">
        <f>F66*C4</f>
        <v>0</v>
      </c>
      <c r="H66" s="644"/>
      <c r="I66" s="644"/>
      <c r="J66" s="644"/>
      <c r="K66" s="644"/>
      <c r="L66" s="644"/>
      <c r="M66" s="644"/>
      <c r="N66" s="644"/>
      <c r="O66" s="644"/>
      <c r="P66" s="644"/>
      <c r="Q66" s="644"/>
      <c r="R66" s="644"/>
      <c r="S66" s="644"/>
      <c r="T66" s="644"/>
      <c r="U66" s="644"/>
      <c r="V66" s="644"/>
      <c r="W66" s="644"/>
      <c r="X66" s="644"/>
      <c r="Y66" s="686"/>
      <c r="Z66" s="39"/>
    </row>
    <row r="67" spans="1:26" ht="14.1" hidden="1" customHeight="1" x14ac:dyDescent="0.25">
      <c r="A67" s="114"/>
      <c r="B67" s="110"/>
      <c r="C67" s="488"/>
      <c r="D67" s="475"/>
      <c r="E67" s="476"/>
      <c r="F67" s="138">
        <v>0</v>
      </c>
      <c r="G67" s="146">
        <f>F67*C4</f>
        <v>0</v>
      </c>
      <c r="H67" s="644"/>
      <c r="I67" s="644"/>
      <c r="J67" s="644"/>
      <c r="K67" s="644"/>
      <c r="L67" s="644"/>
      <c r="M67" s="644"/>
      <c r="N67" s="644"/>
      <c r="O67" s="644"/>
      <c r="P67" s="644"/>
      <c r="Q67" s="644"/>
      <c r="R67" s="644"/>
      <c r="S67" s="644"/>
      <c r="T67" s="644"/>
      <c r="U67" s="644"/>
      <c r="V67" s="644"/>
      <c r="W67" s="644"/>
      <c r="X67" s="644"/>
      <c r="Y67" s="686"/>
      <c r="Z67" s="39"/>
    </row>
    <row r="68" spans="1:26" ht="14.1" hidden="1" customHeight="1" x14ac:dyDescent="0.25">
      <c r="A68" s="114"/>
      <c r="B68" s="110"/>
      <c r="C68" s="488"/>
      <c r="D68" s="475"/>
      <c r="E68" s="476"/>
      <c r="F68" s="138">
        <v>0</v>
      </c>
      <c r="G68" s="146">
        <f>F68*C4</f>
        <v>0</v>
      </c>
      <c r="H68" s="644"/>
      <c r="I68" s="644"/>
      <c r="J68" s="644"/>
      <c r="K68" s="644"/>
      <c r="L68" s="644"/>
      <c r="M68" s="644"/>
      <c r="N68" s="644"/>
      <c r="O68" s="644"/>
      <c r="P68" s="644"/>
      <c r="Q68" s="644"/>
      <c r="R68" s="644"/>
      <c r="S68" s="644"/>
      <c r="T68" s="644"/>
      <c r="U68" s="644"/>
      <c r="V68" s="644"/>
      <c r="W68" s="644"/>
      <c r="X68" s="644"/>
      <c r="Y68" s="686"/>
      <c r="Z68" s="39"/>
    </row>
    <row r="69" spans="1:26" ht="14.1" hidden="1" customHeight="1" x14ac:dyDescent="0.25">
      <c r="A69" s="114"/>
      <c r="B69" s="110"/>
      <c r="C69" s="488"/>
      <c r="D69" s="475"/>
      <c r="E69" s="476"/>
      <c r="F69" s="138">
        <v>0</v>
      </c>
      <c r="G69" s="146">
        <f>F69*C4</f>
        <v>0</v>
      </c>
      <c r="H69" s="644"/>
      <c r="I69" s="644"/>
      <c r="J69" s="644"/>
      <c r="K69" s="644"/>
      <c r="L69" s="644"/>
      <c r="M69" s="644"/>
      <c r="N69" s="644"/>
      <c r="O69" s="644"/>
      <c r="P69" s="644"/>
      <c r="Q69" s="644"/>
      <c r="R69" s="644"/>
      <c r="S69" s="644"/>
      <c r="T69" s="644"/>
      <c r="U69" s="644"/>
      <c r="V69" s="644"/>
      <c r="W69" s="644"/>
      <c r="X69" s="644"/>
      <c r="Y69" s="686"/>
      <c r="Z69" s="39"/>
    </row>
    <row r="70" spans="1:26" ht="14.1" hidden="1" customHeight="1" x14ac:dyDescent="0.25">
      <c r="A70" s="114"/>
      <c r="B70" s="110"/>
      <c r="C70" s="488"/>
      <c r="D70" s="475"/>
      <c r="E70" s="476"/>
      <c r="F70" s="138">
        <v>0</v>
      </c>
      <c r="G70" s="146">
        <f>F70*C4</f>
        <v>0</v>
      </c>
      <c r="H70" s="644"/>
      <c r="I70" s="644"/>
      <c r="J70" s="644"/>
      <c r="K70" s="644"/>
      <c r="L70" s="644"/>
      <c r="M70" s="644"/>
      <c r="N70" s="644"/>
      <c r="O70" s="644"/>
      <c r="P70" s="644"/>
      <c r="Q70" s="644"/>
      <c r="R70" s="644"/>
      <c r="S70" s="644"/>
      <c r="T70" s="644"/>
      <c r="U70" s="644"/>
      <c r="V70" s="644"/>
      <c r="W70" s="644"/>
      <c r="X70" s="644"/>
      <c r="Y70" s="686"/>
      <c r="Z70" s="39"/>
    </row>
    <row r="71" spans="1:26" ht="14.1" hidden="1" customHeight="1" x14ac:dyDescent="0.25">
      <c r="A71" s="103"/>
      <c r="B71" s="108" t="s">
        <v>173</v>
      </c>
      <c r="C71" s="474"/>
      <c r="D71" s="475"/>
      <c r="E71" s="476"/>
      <c r="F71" s="139">
        <f>SUM(F61:F70)</f>
        <v>0</v>
      </c>
      <c r="G71" s="146">
        <f>SUM(G61:G70)</f>
        <v>0</v>
      </c>
      <c r="H71" s="644"/>
      <c r="I71" s="644"/>
      <c r="J71" s="644"/>
      <c r="K71" s="644"/>
      <c r="L71" s="644"/>
      <c r="M71" s="644"/>
      <c r="N71" s="644"/>
      <c r="O71" s="644"/>
      <c r="P71" s="644"/>
      <c r="Q71" s="644"/>
      <c r="R71" s="644"/>
      <c r="S71" s="644"/>
      <c r="T71" s="644"/>
      <c r="U71" s="644"/>
      <c r="V71" s="644"/>
      <c r="W71" s="644"/>
      <c r="X71" s="644"/>
      <c r="Y71" s="686"/>
      <c r="Z71" s="39"/>
    </row>
    <row r="72" spans="1:26" ht="14.1" hidden="1" customHeight="1" x14ac:dyDescent="0.25">
      <c r="A72" s="103"/>
      <c r="B72" s="39"/>
      <c r="C72" s="474"/>
      <c r="D72" s="475"/>
      <c r="E72" s="476"/>
      <c r="F72" s="139"/>
      <c r="G72" s="126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686"/>
      <c r="Z72" s="39"/>
    </row>
    <row r="73" spans="1:26" ht="14.1" hidden="1" customHeight="1" thickBot="1" x14ac:dyDescent="0.3">
      <c r="A73" s="117" t="s">
        <v>3</v>
      </c>
      <c r="B73" s="117"/>
      <c r="C73" s="491"/>
      <c r="D73" s="492"/>
      <c r="E73" s="493"/>
      <c r="F73" s="790">
        <f>SUM(F28+F42+F43+F57+F71)</f>
        <v>0</v>
      </c>
      <c r="G73" s="790">
        <f>SUM(G28+G42+G43+G57+G71)</f>
        <v>0</v>
      </c>
      <c r="H73" s="495"/>
      <c r="I73" s="495"/>
      <c r="J73" s="495"/>
      <c r="K73" s="495"/>
      <c r="L73" s="495"/>
      <c r="M73" s="495"/>
      <c r="N73" s="495"/>
      <c r="O73" s="495"/>
      <c r="P73" s="495"/>
      <c r="Q73" s="495"/>
      <c r="R73" s="495"/>
      <c r="S73" s="495"/>
      <c r="T73" s="495"/>
      <c r="U73" s="495"/>
      <c r="V73" s="495"/>
      <c r="W73" s="495"/>
      <c r="X73" s="495"/>
      <c r="Y73" s="686"/>
      <c r="Z73" s="39"/>
    </row>
    <row r="74" spans="1:26" ht="14.1" hidden="1" customHeight="1" x14ac:dyDescent="0.25">
      <c r="A74" s="103"/>
      <c r="B74" s="103"/>
      <c r="C74" s="480"/>
      <c r="D74" s="496"/>
      <c r="E74" s="477"/>
      <c r="F74" s="791"/>
      <c r="G74" s="791"/>
      <c r="H74" s="498"/>
      <c r="I74" s="498"/>
      <c r="J74" s="498"/>
      <c r="K74" s="498"/>
      <c r="L74" s="498"/>
      <c r="M74" s="498"/>
      <c r="N74" s="498"/>
      <c r="O74" s="498"/>
      <c r="P74" s="498"/>
      <c r="Q74" s="498"/>
      <c r="R74" s="498"/>
      <c r="S74" s="498"/>
      <c r="T74" s="498"/>
      <c r="U74" s="498"/>
      <c r="V74" s="498"/>
      <c r="W74" s="498"/>
      <c r="X74" s="498"/>
      <c r="Y74" s="686"/>
      <c r="Z74" s="39"/>
    </row>
    <row r="75" spans="1:26" ht="14.1" customHeight="1" thickBot="1" x14ac:dyDescent="0.3">
      <c r="A75" s="74" t="s">
        <v>6</v>
      </c>
      <c r="B75" s="103"/>
      <c r="C75" s="480"/>
      <c r="D75" s="499"/>
      <c r="E75" s="485"/>
      <c r="F75" s="139"/>
      <c r="G75" s="126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686"/>
      <c r="Z75" s="39"/>
    </row>
    <row r="76" spans="1:26" ht="14.1" customHeight="1" thickBot="1" x14ac:dyDescent="0.3">
      <c r="A76" s="35"/>
      <c r="B76" s="74" t="s">
        <v>306</v>
      </c>
      <c r="C76" s="453" t="s">
        <v>30</v>
      </c>
      <c r="D76" s="454" t="s">
        <v>31</v>
      </c>
      <c r="E76" s="438" t="s">
        <v>0</v>
      </c>
      <c r="F76" s="100" t="s">
        <v>69</v>
      </c>
      <c r="G76" s="100" t="s">
        <v>69</v>
      </c>
      <c r="H76" s="847" t="s">
        <v>185</v>
      </c>
      <c r="I76" s="848"/>
      <c r="J76" s="848"/>
      <c r="K76" s="848"/>
      <c r="L76" s="848"/>
      <c r="M76" s="848"/>
      <c r="N76" s="848"/>
      <c r="O76" s="848"/>
      <c r="P76" s="848"/>
      <c r="Q76" s="849"/>
      <c r="R76" s="455" t="s">
        <v>302</v>
      </c>
      <c r="S76" s="455" t="s">
        <v>303</v>
      </c>
      <c r="T76" s="455" t="s">
        <v>303</v>
      </c>
      <c r="U76" s="455" t="s">
        <v>302</v>
      </c>
      <c r="V76" s="455" t="s">
        <v>303</v>
      </c>
      <c r="W76" s="91" t="s">
        <v>303</v>
      </c>
      <c r="X76" s="91" t="s">
        <v>305</v>
      </c>
      <c r="Y76" s="749"/>
      <c r="Z76" s="35"/>
    </row>
    <row r="77" spans="1:26" ht="14.1" customHeight="1" thickBot="1" x14ac:dyDescent="0.3">
      <c r="A77" s="35"/>
      <c r="B77" s="74"/>
      <c r="C77" s="453"/>
      <c r="D77" s="454"/>
      <c r="E77" s="438"/>
      <c r="F77" s="100" t="s">
        <v>5</v>
      </c>
      <c r="G77" s="100" t="s">
        <v>5</v>
      </c>
      <c r="H77" s="500" t="s">
        <v>175</v>
      </c>
      <c r="I77" s="500" t="s">
        <v>176</v>
      </c>
      <c r="J77" s="500" t="s">
        <v>177</v>
      </c>
      <c r="K77" s="500" t="s">
        <v>178</v>
      </c>
      <c r="L77" s="500" t="s">
        <v>179</v>
      </c>
      <c r="M77" s="500" t="s">
        <v>180</v>
      </c>
      <c r="N77" s="500" t="s">
        <v>181</v>
      </c>
      <c r="O77" s="500" t="s">
        <v>182</v>
      </c>
      <c r="P77" s="500" t="s">
        <v>183</v>
      </c>
      <c r="Q77" s="500" t="s">
        <v>184</v>
      </c>
      <c r="R77" s="458"/>
      <c r="S77" s="455"/>
      <c r="T77" s="455"/>
      <c r="U77" s="455"/>
      <c r="V77" s="455"/>
      <c r="W77" s="88"/>
      <c r="X77" s="88"/>
      <c r="Y77" s="141"/>
      <c r="Z77" s="35"/>
    </row>
    <row r="78" spans="1:26" ht="14.1" customHeight="1" x14ac:dyDescent="0.25">
      <c r="A78" s="74"/>
      <c r="B78" s="74"/>
      <c r="C78" s="453" t="s">
        <v>1</v>
      </c>
      <c r="D78" s="454" t="s">
        <v>2</v>
      </c>
      <c r="E78" s="458" t="s">
        <v>20</v>
      </c>
      <c r="F78" s="785" t="s">
        <v>20</v>
      </c>
      <c r="G78" s="86" t="s">
        <v>4</v>
      </c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458" t="s">
        <v>20</v>
      </c>
      <c r="S78" s="458" t="s">
        <v>20</v>
      </c>
      <c r="T78" s="219" t="s">
        <v>304</v>
      </c>
      <c r="U78" s="219" t="s">
        <v>4</v>
      </c>
      <c r="V78" s="219" t="s">
        <v>4</v>
      </c>
      <c r="W78" s="91" t="s">
        <v>304</v>
      </c>
      <c r="X78" s="91"/>
      <c r="Y78" s="141"/>
      <c r="Z78" s="35"/>
    </row>
    <row r="79" spans="1:26" ht="14.1" customHeight="1" x14ac:dyDescent="0.25">
      <c r="A79" s="74" t="s">
        <v>83</v>
      </c>
      <c r="B79" s="74"/>
      <c r="C79" s="453"/>
      <c r="D79" s="454"/>
      <c r="E79" s="458"/>
      <c r="F79" s="785"/>
      <c r="G79" s="86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20"/>
      <c r="S79" s="220"/>
      <c r="T79" s="220"/>
      <c r="U79" s="220"/>
      <c r="V79" s="220"/>
      <c r="W79" s="220"/>
      <c r="X79" s="220"/>
      <c r="Y79" s="141"/>
      <c r="Z79" s="35"/>
    </row>
    <row r="80" spans="1:26" ht="14.1" customHeight="1" x14ac:dyDescent="0.25">
      <c r="A80" s="129">
        <v>1</v>
      </c>
      <c r="B80" s="130" t="s">
        <v>84</v>
      </c>
      <c r="C80" s="507"/>
      <c r="D80" s="508"/>
      <c r="E80" s="509"/>
      <c r="F80" s="792"/>
      <c r="G80" s="793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21"/>
      <c r="S80" s="221"/>
      <c r="T80" s="221"/>
      <c r="U80" s="221"/>
      <c r="V80" s="221"/>
      <c r="W80" s="221"/>
      <c r="X80" s="221"/>
      <c r="Y80" s="141"/>
      <c r="Z80" s="35"/>
    </row>
    <row r="81" spans="1:26" ht="14.1" customHeight="1" x14ac:dyDescent="0.25">
      <c r="A81" s="200">
        <v>1.1000000000000001</v>
      </c>
      <c r="B81" s="113" t="s">
        <v>87</v>
      </c>
      <c r="C81" s="687" t="s">
        <v>742</v>
      </c>
      <c r="D81" s="688">
        <v>1</v>
      </c>
      <c r="E81" s="689"/>
      <c r="F81" s="794">
        <f>D81*E81</f>
        <v>0</v>
      </c>
      <c r="G81" s="794">
        <f>F81*C4</f>
        <v>0</v>
      </c>
      <c r="H81" s="240"/>
      <c r="I81" s="240"/>
      <c r="J81" s="240"/>
      <c r="K81" s="240"/>
      <c r="L81" s="240"/>
      <c r="M81" s="240"/>
      <c r="N81" s="240"/>
      <c r="O81" s="240"/>
      <c r="P81" s="240"/>
      <c r="Q81" s="249"/>
      <c r="R81" s="263"/>
      <c r="S81" s="222">
        <f>R81-F81</f>
        <v>0</v>
      </c>
      <c r="T81" s="228">
        <f>IF(F81=0,0,S81/F81)</f>
        <v>0</v>
      </c>
      <c r="U81" s="222">
        <f>R81*$C$4</f>
        <v>0</v>
      </c>
      <c r="V81" s="222">
        <f>U81-G81</f>
        <v>0</v>
      </c>
      <c r="W81" s="228">
        <f>IF(G81=0,0,V81/G81)</f>
        <v>0</v>
      </c>
      <c r="X81" s="228"/>
      <c r="Y81" s="141"/>
      <c r="Z81" s="35"/>
    </row>
    <row r="82" spans="1:26" ht="14.1" customHeight="1" x14ac:dyDescent="0.25">
      <c r="A82" s="103" t="s">
        <v>110</v>
      </c>
      <c r="B82" s="113"/>
      <c r="C82" s="646"/>
      <c r="D82" s="649"/>
      <c r="E82" s="643"/>
      <c r="F82" s="139"/>
      <c r="G82" s="794"/>
      <c r="H82" s="239"/>
      <c r="I82" s="239"/>
      <c r="J82" s="239"/>
      <c r="K82" s="239"/>
      <c r="L82" s="239"/>
      <c r="M82" s="239"/>
      <c r="N82" s="239"/>
      <c r="O82" s="239"/>
      <c r="P82" s="239"/>
      <c r="Q82" s="250"/>
      <c r="R82" s="255"/>
      <c r="S82" s="222"/>
      <c r="T82" s="228"/>
      <c r="U82" s="222"/>
      <c r="V82" s="222"/>
      <c r="W82" s="228"/>
      <c r="X82" s="228"/>
      <c r="Y82" s="141"/>
      <c r="Z82" s="35"/>
    </row>
    <row r="83" spans="1:26" ht="14.1" customHeight="1" x14ac:dyDescent="0.25">
      <c r="A83" s="690" t="s">
        <v>743</v>
      </c>
      <c r="B83" s="691" t="s">
        <v>744</v>
      </c>
      <c r="C83" s="692" t="s">
        <v>742</v>
      </c>
      <c r="D83" s="693">
        <v>12</v>
      </c>
      <c r="E83" s="694">
        <f>4441*0.25</f>
        <v>1110.25</v>
      </c>
      <c r="F83" s="139">
        <f t="shared" ref="F83:F88" si="0">D83*E83</f>
        <v>13323</v>
      </c>
      <c r="G83" s="794">
        <f>F83*C$4</f>
        <v>18785.43</v>
      </c>
      <c r="H83" s="695"/>
      <c r="I83" s="695"/>
      <c r="J83" s="695"/>
      <c r="K83" s="695"/>
      <c r="L83" s="695"/>
      <c r="M83" s="695"/>
      <c r="N83" s="695"/>
      <c r="O83" s="695"/>
      <c r="P83" s="695"/>
      <c r="Q83" s="696"/>
      <c r="R83" s="255"/>
      <c r="S83" s="222">
        <f t="shared" ref="S83:S171" si="1">R83-F83</f>
        <v>-13323</v>
      </c>
      <c r="T83" s="228">
        <f t="shared" ref="T83:T171" si="2">IF(F83=0,0,S83/F83)</f>
        <v>-1</v>
      </c>
      <c r="U83" s="222">
        <f t="shared" ref="U83:U171" si="3">R83*$C$4</f>
        <v>0</v>
      </c>
      <c r="V83" s="222">
        <f t="shared" ref="V83:V171" si="4">U83-G83</f>
        <v>-18785.43</v>
      </c>
      <c r="W83" s="228">
        <f t="shared" ref="W83:W171" si="5">IF(G83=0,0,V83/G83)</f>
        <v>-1</v>
      </c>
      <c r="X83" s="228"/>
      <c r="Y83" s="686"/>
      <c r="Z83" s="39"/>
    </row>
    <row r="84" spans="1:26" ht="14.1" customHeight="1" x14ac:dyDescent="0.25">
      <c r="A84" s="697" t="s">
        <v>745</v>
      </c>
      <c r="B84" s="691" t="s">
        <v>746</v>
      </c>
      <c r="C84" s="692" t="s">
        <v>742</v>
      </c>
      <c r="D84" s="693">
        <v>12</v>
      </c>
      <c r="E84" s="694">
        <f>1999*0.3</f>
        <v>599.69999999999993</v>
      </c>
      <c r="F84" s="139">
        <f t="shared" si="0"/>
        <v>7196.4</v>
      </c>
      <c r="G84" s="794">
        <f>F84*C$4</f>
        <v>10146.923999999999</v>
      </c>
      <c r="H84" s="695"/>
      <c r="I84" s="695"/>
      <c r="J84" s="695"/>
      <c r="K84" s="695"/>
      <c r="L84" s="695"/>
      <c r="M84" s="695"/>
      <c r="N84" s="695"/>
      <c r="O84" s="695"/>
      <c r="P84" s="695"/>
      <c r="Q84" s="696"/>
      <c r="R84" s="255"/>
      <c r="S84" s="222">
        <f t="shared" si="1"/>
        <v>-7196.4</v>
      </c>
      <c r="T84" s="228">
        <f t="shared" si="2"/>
        <v>-1</v>
      </c>
      <c r="U84" s="222">
        <f t="shared" si="3"/>
        <v>0</v>
      </c>
      <c r="V84" s="222">
        <f t="shared" si="4"/>
        <v>-10146.923999999999</v>
      </c>
      <c r="W84" s="228">
        <f t="shared" si="5"/>
        <v>-1</v>
      </c>
      <c r="X84" s="228"/>
      <c r="Y84" s="686"/>
      <c r="Z84" s="39"/>
    </row>
    <row r="85" spans="1:26" ht="14.1" customHeight="1" x14ac:dyDescent="0.25">
      <c r="A85" s="697" t="s">
        <v>747</v>
      </c>
      <c r="B85" s="691" t="s">
        <v>748</v>
      </c>
      <c r="C85" s="692" t="s">
        <v>742</v>
      </c>
      <c r="D85" s="693">
        <v>12</v>
      </c>
      <c r="E85" s="694">
        <f>1999*0.3</f>
        <v>599.69999999999993</v>
      </c>
      <c r="F85" s="139">
        <f t="shared" si="0"/>
        <v>7196.4</v>
      </c>
      <c r="G85" s="794">
        <f>F85*C$4</f>
        <v>10146.923999999999</v>
      </c>
      <c r="H85" s="695"/>
      <c r="I85" s="695"/>
      <c r="J85" s="695"/>
      <c r="K85" s="695"/>
      <c r="L85" s="695"/>
      <c r="M85" s="695"/>
      <c r="N85" s="695"/>
      <c r="O85" s="695"/>
      <c r="P85" s="695"/>
      <c r="Q85" s="696"/>
      <c r="R85" s="255"/>
      <c r="S85" s="222">
        <f t="shared" si="1"/>
        <v>-7196.4</v>
      </c>
      <c r="T85" s="228">
        <f t="shared" si="2"/>
        <v>-1</v>
      </c>
      <c r="U85" s="222">
        <f t="shared" si="3"/>
        <v>0</v>
      </c>
      <c r="V85" s="222">
        <f t="shared" si="4"/>
        <v>-10146.923999999999</v>
      </c>
      <c r="W85" s="228">
        <f t="shared" si="5"/>
        <v>-1</v>
      </c>
      <c r="X85" s="228"/>
      <c r="Y85" s="686"/>
      <c r="Z85" s="39"/>
    </row>
    <row r="86" spans="1:26" ht="14.1" hidden="1" customHeight="1" x14ac:dyDescent="0.25">
      <c r="A86" s="210" t="s">
        <v>91</v>
      </c>
      <c r="B86" s="46"/>
      <c r="C86" s="515"/>
      <c r="D86" s="516"/>
      <c r="E86" s="517"/>
      <c r="F86" s="795">
        <f t="shared" si="0"/>
        <v>0</v>
      </c>
      <c r="G86" s="794">
        <f>F86*C4</f>
        <v>0</v>
      </c>
      <c r="H86" s="239"/>
      <c r="I86" s="239"/>
      <c r="J86" s="239"/>
      <c r="K86" s="239"/>
      <c r="L86" s="239"/>
      <c r="M86" s="239"/>
      <c r="N86" s="239"/>
      <c r="O86" s="239"/>
      <c r="P86" s="239"/>
      <c r="Q86" s="250"/>
      <c r="R86" s="261"/>
      <c r="S86" s="222">
        <f t="shared" si="1"/>
        <v>0</v>
      </c>
      <c r="T86" s="228">
        <f t="shared" si="2"/>
        <v>0</v>
      </c>
      <c r="U86" s="222">
        <f t="shared" si="3"/>
        <v>0</v>
      </c>
      <c r="V86" s="222">
        <f t="shared" si="4"/>
        <v>0</v>
      </c>
      <c r="W86" s="228">
        <f t="shared" si="5"/>
        <v>0</v>
      </c>
      <c r="X86" s="228"/>
      <c r="Y86" s="141"/>
      <c r="Z86" s="35"/>
    </row>
    <row r="87" spans="1:26" ht="14.1" hidden="1" customHeight="1" x14ac:dyDescent="0.25">
      <c r="A87" s="210" t="s">
        <v>92</v>
      </c>
      <c r="B87" s="46"/>
      <c r="C87" s="515"/>
      <c r="D87" s="516"/>
      <c r="E87" s="517"/>
      <c r="F87" s="795">
        <f t="shared" si="0"/>
        <v>0</v>
      </c>
      <c r="G87" s="794">
        <f>F87*C4</f>
        <v>0</v>
      </c>
      <c r="H87" s="239"/>
      <c r="I87" s="239"/>
      <c r="J87" s="239"/>
      <c r="K87" s="239"/>
      <c r="L87" s="239"/>
      <c r="M87" s="239"/>
      <c r="N87" s="239"/>
      <c r="O87" s="239"/>
      <c r="P87" s="239"/>
      <c r="Q87" s="250"/>
      <c r="R87" s="261"/>
      <c r="S87" s="222">
        <f t="shared" si="1"/>
        <v>0</v>
      </c>
      <c r="T87" s="228">
        <f t="shared" si="2"/>
        <v>0</v>
      </c>
      <c r="U87" s="222">
        <f t="shared" si="3"/>
        <v>0</v>
      </c>
      <c r="V87" s="222">
        <f t="shared" si="4"/>
        <v>0</v>
      </c>
      <c r="W87" s="228">
        <f t="shared" si="5"/>
        <v>0</v>
      </c>
      <c r="X87" s="228"/>
      <c r="Y87" s="141"/>
      <c r="Z87" s="35"/>
    </row>
    <row r="88" spans="1:26" ht="14.1" hidden="1" customHeight="1" x14ac:dyDescent="0.25">
      <c r="A88" s="210" t="s">
        <v>93</v>
      </c>
      <c r="B88" s="46"/>
      <c r="C88" s="515"/>
      <c r="D88" s="516"/>
      <c r="E88" s="517"/>
      <c r="F88" s="795">
        <f t="shared" si="0"/>
        <v>0</v>
      </c>
      <c r="G88" s="794">
        <f>F88*C4</f>
        <v>0</v>
      </c>
      <c r="H88" s="239"/>
      <c r="I88" s="239"/>
      <c r="J88" s="239"/>
      <c r="K88" s="239"/>
      <c r="L88" s="239"/>
      <c r="M88" s="239"/>
      <c r="N88" s="239"/>
      <c r="O88" s="239"/>
      <c r="P88" s="239"/>
      <c r="Q88" s="250"/>
      <c r="R88" s="261"/>
      <c r="S88" s="222">
        <f t="shared" si="1"/>
        <v>0</v>
      </c>
      <c r="T88" s="228">
        <f t="shared" si="2"/>
        <v>0</v>
      </c>
      <c r="U88" s="222">
        <f t="shared" si="3"/>
        <v>0</v>
      </c>
      <c r="V88" s="222">
        <f t="shared" si="4"/>
        <v>0</v>
      </c>
      <c r="W88" s="228">
        <f t="shared" si="5"/>
        <v>0</v>
      </c>
      <c r="X88" s="228"/>
      <c r="Y88" s="141"/>
      <c r="Z88" s="35"/>
    </row>
    <row r="89" spans="1:26" ht="14.1" customHeight="1" x14ac:dyDescent="0.25">
      <c r="A89" s="207"/>
      <c r="B89" s="208"/>
      <c r="C89" s="651"/>
      <c r="D89" s="652"/>
      <c r="E89" s="653"/>
      <c r="F89" s="795"/>
      <c r="G89" s="76"/>
      <c r="H89" s="239"/>
      <c r="I89" s="239"/>
      <c r="J89" s="239"/>
      <c r="K89" s="239"/>
      <c r="L89" s="239"/>
      <c r="M89" s="239"/>
      <c r="N89" s="239"/>
      <c r="O89" s="239"/>
      <c r="P89" s="239"/>
      <c r="Q89" s="250"/>
      <c r="R89" s="256"/>
      <c r="S89" s="222"/>
      <c r="T89" s="228"/>
      <c r="U89" s="222"/>
      <c r="V89" s="222"/>
      <c r="W89" s="228"/>
      <c r="X89" s="228"/>
      <c r="Y89" s="141"/>
      <c r="Z89" s="35"/>
    </row>
    <row r="90" spans="1:26" ht="14.1" customHeight="1" x14ac:dyDescent="0.25">
      <c r="A90" s="103" t="s">
        <v>111</v>
      </c>
      <c r="B90" s="35"/>
      <c r="C90" s="644"/>
      <c r="D90" s="655"/>
      <c r="E90" s="656"/>
      <c r="F90" s="795"/>
      <c r="G90" s="76"/>
      <c r="H90" s="239"/>
      <c r="I90" s="239"/>
      <c r="J90" s="239"/>
      <c r="K90" s="239"/>
      <c r="L90" s="239"/>
      <c r="M90" s="239"/>
      <c r="N90" s="239"/>
      <c r="O90" s="239"/>
      <c r="P90" s="239"/>
      <c r="Q90" s="250"/>
      <c r="R90" s="256"/>
      <c r="S90" s="222"/>
      <c r="T90" s="228"/>
      <c r="U90" s="222"/>
      <c r="V90" s="222"/>
      <c r="W90" s="228"/>
      <c r="X90" s="228"/>
      <c r="Y90" s="141"/>
      <c r="Z90" s="39"/>
    </row>
    <row r="91" spans="1:26" ht="14.1" customHeight="1" x14ac:dyDescent="0.25">
      <c r="A91" s="81" t="s">
        <v>634</v>
      </c>
      <c r="B91" s="691" t="s">
        <v>749</v>
      </c>
      <c r="C91" s="687" t="s">
        <v>742</v>
      </c>
      <c r="D91" s="688">
        <v>12</v>
      </c>
      <c r="E91" s="689">
        <v>909</v>
      </c>
      <c r="F91" s="139">
        <f t="shared" ref="F91:F105" si="6">D91*E91</f>
        <v>10908</v>
      </c>
      <c r="G91" s="794">
        <f t="shared" ref="G91:G105" si="7">F91*C$4</f>
        <v>15380.279999999999</v>
      </c>
      <c r="H91" s="239"/>
      <c r="I91" s="239"/>
      <c r="J91" s="239"/>
      <c r="K91" s="239"/>
      <c r="L91" s="239"/>
      <c r="M91" s="239"/>
      <c r="N91" s="239"/>
      <c r="O91" s="239"/>
      <c r="P91" s="239"/>
      <c r="Q91" s="250"/>
      <c r="R91" s="261"/>
      <c r="S91" s="222">
        <f t="shared" si="1"/>
        <v>-10908</v>
      </c>
      <c r="T91" s="228">
        <f t="shared" si="2"/>
        <v>-1</v>
      </c>
      <c r="U91" s="222">
        <f t="shared" si="3"/>
        <v>0</v>
      </c>
      <c r="V91" s="222">
        <f t="shared" si="4"/>
        <v>-15380.279999999999</v>
      </c>
      <c r="W91" s="228">
        <f t="shared" si="5"/>
        <v>-1</v>
      </c>
      <c r="X91" s="228"/>
      <c r="Y91" s="141"/>
      <c r="Z91" s="39"/>
    </row>
    <row r="92" spans="1:26" ht="14.1" customHeight="1" x14ac:dyDescent="0.25">
      <c r="A92" s="81" t="s">
        <v>637</v>
      </c>
      <c r="B92" s="691" t="s">
        <v>750</v>
      </c>
      <c r="C92" s="699" t="s">
        <v>742</v>
      </c>
      <c r="D92" s="700">
        <v>12</v>
      </c>
      <c r="E92" s="701">
        <v>2069.2950000000001</v>
      </c>
      <c r="F92" s="139">
        <f t="shared" si="6"/>
        <v>24831.54</v>
      </c>
      <c r="G92" s="794">
        <f t="shared" si="7"/>
        <v>35012.471400000002</v>
      </c>
      <c r="H92" s="239"/>
      <c r="I92" s="239"/>
      <c r="J92" s="239"/>
      <c r="K92" s="239"/>
      <c r="L92" s="239"/>
      <c r="M92" s="239"/>
      <c r="N92" s="239"/>
      <c r="O92" s="239"/>
      <c r="P92" s="239"/>
      <c r="Q92" s="250"/>
      <c r="R92" s="261"/>
      <c r="S92" s="222"/>
      <c r="T92" s="228"/>
      <c r="U92" s="222"/>
      <c r="V92" s="222"/>
      <c r="W92" s="228"/>
      <c r="X92" s="228"/>
      <c r="Y92" s="141"/>
      <c r="Z92" s="39"/>
    </row>
    <row r="93" spans="1:26" ht="14.1" customHeight="1" x14ac:dyDescent="0.25">
      <c r="A93" s="81" t="s">
        <v>639</v>
      </c>
      <c r="B93" s="691" t="s">
        <v>751</v>
      </c>
      <c r="C93" s="699" t="s">
        <v>742</v>
      </c>
      <c r="D93" s="700">
        <v>12</v>
      </c>
      <c r="E93" s="701">
        <f>909*0.5</f>
        <v>454.5</v>
      </c>
      <c r="F93" s="139">
        <f t="shared" si="6"/>
        <v>5454</v>
      </c>
      <c r="G93" s="794">
        <f t="shared" si="7"/>
        <v>7690.1399999999994</v>
      </c>
      <c r="H93" s="702"/>
      <c r="I93" s="702"/>
      <c r="J93" s="702"/>
      <c r="K93" s="702"/>
      <c r="L93" s="702"/>
      <c r="M93" s="702"/>
      <c r="N93" s="702"/>
      <c r="O93" s="702"/>
      <c r="P93" s="702"/>
      <c r="Q93" s="703"/>
      <c r="R93" s="704"/>
      <c r="S93" s="705"/>
      <c r="T93" s="706"/>
      <c r="U93" s="705"/>
      <c r="V93" s="705"/>
      <c r="W93" s="706"/>
      <c r="X93" s="706"/>
      <c r="Y93" s="141"/>
      <c r="Z93" s="39"/>
    </row>
    <row r="94" spans="1:26" ht="14.1" customHeight="1" x14ac:dyDescent="0.25">
      <c r="A94" s="81" t="s">
        <v>641</v>
      </c>
      <c r="B94" s="691" t="s">
        <v>752</v>
      </c>
      <c r="C94" s="699" t="s">
        <v>742</v>
      </c>
      <c r="D94" s="700">
        <v>12</v>
      </c>
      <c r="E94" s="701">
        <f>909*0.6</f>
        <v>545.4</v>
      </c>
      <c r="F94" s="139">
        <f t="shared" si="6"/>
        <v>6544.7999999999993</v>
      </c>
      <c r="G94" s="794">
        <f t="shared" si="7"/>
        <v>9228.1679999999978</v>
      </c>
      <c r="H94" s="239"/>
      <c r="I94" s="239"/>
      <c r="J94" s="239"/>
      <c r="K94" s="239"/>
      <c r="L94" s="239"/>
      <c r="M94" s="239"/>
      <c r="N94" s="239"/>
      <c r="O94" s="239"/>
      <c r="P94" s="239"/>
      <c r="Q94" s="250"/>
      <c r="R94" s="261"/>
      <c r="S94" s="222">
        <f t="shared" si="1"/>
        <v>-6544.7999999999993</v>
      </c>
      <c r="T94" s="228">
        <f t="shared" si="2"/>
        <v>-1</v>
      </c>
      <c r="U94" s="222">
        <f t="shared" si="3"/>
        <v>0</v>
      </c>
      <c r="V94" s="222">
        <f t="shared" si="4"/>
        <v>-9228.1679999999978</v>
      </c>
      <c r="W94" s="228">
        <f t="shared" si="5"/>
        <v>-1</v>
      </c>
      <c r="X94" s="228"/>
      <c r="Y94" s="141"/>
      <c r="Z94" s="39"/>
    </row>
    <row r="95" spans="1:26" ht="14.1" customHeight="1" x14ac:dyDescent="0.25">
      <c r="A95" s="81" t="s">
        <v>643</v>
      </c>
      <c r="B95" s="691" t="s">
        <v>753</v>
      </c>
      <c r="C95" s="699" t="s">
        <v>742</v>
      </c>
      <c r="D95" s="700">
        <v>4</v>
      </c>
      <c r="E95" s="701">
        <v>1342</v>
      </c>
      <c r="F95" s="139">
        <f t="shared" si="6"/>
        <v>5368</v>
      </c>
      <c r="G95" s="794">
        <f t="shared" si="7"/>
        <v>7568.8799999999992</v>
      </c>
      <c r="H95" s="702"/>
      <c r="I95" s="702"/>
      <c r="J95" s="702"/>
      <c r="K95" s="702"/>
      <c r="L95" s="702"/>
      <c r="M95" s="702"/>
      <c r="N95" s="702"/>
      <c r="O95" s="702"/>
      <c r="P95" s="702"/>
      <c r="Q95" s="703"/>
      <c r="R95" s="704"/>
      <c r="S95" s="705"/>
      <c r="T95" s="706"/>
      <c r="U95" s="705"/>
      <c r="V95" s="705"/>
      <c r="W95" s="706"/>
      <c r="X95" s="706"/>
      <c r="Y95" s="141"/>
      <c r="Z95" s="39"/>
    </row>
    <row r="96" spans="1:26" ht="14.1" customHeight="1" x14ac:dyDescent="0.25">
      <c r="A96" s="81" t="s">
        <v>645</v>
      </c>
      <c r="B96" s="691" t="s">
        <v>754</v>
      </c>
      <c r="C96" s="699" t="s">
        <v>742</v>
      </c>
      <c r="D96" s="700">
        <v>12</v>
      </c>
      <c r="E96" s="701">
        <f>1482*0.6</f>
        <v>889.19999999999993</v>
      </c>
      <c r="F96" s="139">
        <f t="shared" si="6"/>
        <v>10670.4</v>
      </c>
      <c r="G96" s="794">
        <f t="shared" si="7"/>
        <v>15045.263999999999</v>
      </c>
      <c r="H96" s="702"/>
      <c r="I96" s="702"/>
      <c r="J96" s="702"/>
      <c r="K96" s="702"/>
      <c r="L96" s="702"/>
      <c r="M96" s="702"/>
      <c r="N96" s="702"/>
      <c r="O96" s="702"/>
      <c r="P96" s="702"/>
      <c r="Q96" s="703"/>
      <c r="R96" s="704"/>
      <c r="S96" s="705"/>
      <c r="T96" s="706"/>
      <c r="U96" s="705"/>
      <c r="V96" s="705"/>
      <c r="W96" s="706"/>
      <c r="X96" s="706"/>
      <c r="Y96" s="141"/>
      <c r="Z96" s="39"/>
    </row>
    <row r="97" spans="1:26" ht="14.1" customHeight="1" x14ac:dyDescent="0.25">
      <c r="A97" s="81" t="s">
        <v>647</v>
      </c>
      <c r="B97" s="691" t="s">
        <v>755</v>
      </c>
      <c r="C97" s="699" t="s">
        <v>742</v>
      </c>
      <c r="D97" s="700">
        <v>12</v>
      </c>
      <c r="E97" s="701">
        <f>2069.295*0.3</f>
        <v>620.7885</v>
      </c>
      <c r="F97" s="139">
        <f t="shared" si="6"/>
        <v>7449.4619999999995</v>
      </c>
      <c r="G97" s="794">
        <f t="shared" si="7"/>
        <v>10503.741419999998</v>
      </c>
      <c r="H97" s="239"/>
      <c r="I97" s="239"/>
      <c r="J97" s="239"/>
      <c r="K97" s="239"/>
      <c r="L97" s="239"/>
      <c r="M97" s="239"/>
      <c r="N97" s="239"/>
      <c r="O97" s="239"/>
      <c r="P97" s="239"/>
      <c r="Q97" s="250"/>
      <c r="R97" s="261"/>
      <c r="S97" s="222">
        <f t="shared" si="1"/>
        <v>-7449.4619999999995</v>
      </c>
      <c r="T97" s="228">
        <f t="shared" si="2"/>
        <v>-1</v>
      </c>
      <c r="U97" s="222">
        <f t="shared" si="3"/>
        <v>0</v>
      </c>
      <c r="V97" s="222">
        <f t="shared" si="4"/>
        <v>-10503.741419999998</v>
      </c>
      <c r="W97" s="228">
        <f t="shared" si="5"/>
        <v>-1</v>
      </c>
      <c r="X97" s="228"/>
      <c r="Y97" s="141"/>
      <c r="Z97" s="39"/>
    </row>
    <row r="98" spans="1:26" ht="14.1" customHeight="1" x14ac:dyDescent="0.25">
      <c r="A98" s="81" t="s">
        <v>756</v>
      </c>
      <c r="B98" s="691" t="s">
        <v>757</v>
      </c>
      <c r="C98" s="699" t="s">
        <v>742</v>
      </c>
      <c r="D98" s="700">
        <v>12</v>
      </c>
      <c r="E98" s="701">
        <v>1499</v>
      </c>
      <c r="F98" s="139">
        <f t="shared" si="6"/>
        <v>17988</v>
      </c>
      <c r="G98" s="794">
        <f t="shared" si="7"/>
        <v>25363.079999999998</v>
      </c>
      <c r="H98" s="702"/>
      <c r="I98" s="702"/>
      <c r="J98" s="702"/>
      <c r="K98" s="702"/>
      <c r="L98" s="702"/>
      <c r="M98" s="702"/>
      <c r="N98" s="702"/>
      <c r="O98" s="702"/>
      <c r="P98" s="702"/>
      <c r="Q98" s="703"/>
      <c r="R98" s="704"/>
      <c r="S98" s="705">
        <f t="shared" si="1"/>
        <v>-17988</v>
      </c>
      <c r="T98" s="706">
        <f t="shared" si="2"/>
        <v>-1</v>
      </c>
      <c r="U98" s="705">
        <f t="shared" si="3"/>
        <v>0</v>
      </c>
      <c r="V98" s="705">
        <f t="shared" si="4"/>
        <v>-25363.079999999998</v>
      </c>
      <c r="W98" s="706">
        <f t="shared" si="5"/>
        <v>-1</v>
      </c>
      <c r="X98" s="706"/>
      <c r="Y98" s="141"/>
      <c r="Z98" s="39"/>
    </row>
    <row r="99" spans="1:26" ht="14.1" customHeight="1" x14ac:dyDescent="0.25">
      <c r="A99" s="81" t="s">
        <v>758</v>
      </c>
      <c r="B99" s="691" t="s">
        <v>759</v>
      </c>
      <c r="C99" s="699" t="s">
        <v>760</v>
      </c>
      <c r="D99" s="700">
        <v>12</v>
      </c>
      <c r="E99" s="701">
        <v>909</v>
      </c>
      <c r="F99" s="139">
        <f t="shared" si="6"/>
        <v>10908</v>
      </c>
      <c r="G99" s="794">
        <f t="shared" si="7"/>
        <v>15380.279999999999</v>
      </c>
      <c r="H99" s="702"/>
      <c r="I99" s="702"/>
      <c r="J99" s="702"/>
      <c r="K99" s="702"/>
      <c r="L99" s="702"/>
      <c r="M99" s="702"/>
      <c r="N99" s="702"/>
      <c r="O99" s="702"/>
      <c r="P99" s="702"/>
      <c r="Q99" s="703"/>
      <c r="R99" s="704"/>
      <c r="S99" s="705"/>
      <c r="T99" s="706"/>
      <c r="U99" s="705"/>
      <c r="V99" s="705"/>
      <c r="W99" s="706"/>
      <c r="X99" s="706"/>
      <c r="Y99" s="141"/>
      <c r="Z99" s="39"/>
    </row>
    <row r="100" spans="1:26" ht="14.1" customHeight="1" x14ac:dyDescent="0.25">
      <c r="A100" s="81" t="s">
        <v>761</v>
      </c>
      <c r="B100" s="691" t="s">
        <v>762</v>
      </c>
      <c r="C100" s="699" t="s">
        <v>742</v>
      </c>
      <c r="D100" s="700">
        <v>12</v>
      </c>
      <c r="E100" s="701">
        <f>1435.264625*0.3</f>
        <v>430.5793875</v>
      </c>
      <c r="F100" s="139">
        <f t="shared" si="6"/>
        <v>5166.9526500000002</v>
      </c>
      <c r="G100" s="794">
        <f t="shared" si="7"/>
        <v>7285.4032365000003</v>
      </c>
      <c r="H100" s="702"/>
      <c r="I100" s="702"/>
      <c r="J100" s="702"/>
      <c r="K100" s="702"/>
      <c r="L100" s="702"/>
      <c r="M100" s="702"/>
      <c r="N100" s="702"/>
      <c r="O100" s="702"/>
      <c r="P100" s="702"/>
      <c r="Q100" s="703"/>
      <c r="R100" s="704"/>
      <c r="S100" s="705"/>
      <c r="T100" s="706"/>
      <c r="U100" s="705"/>
      <c r="V100" s="705"/>
      <c r="W100" s="706"/>
      <c r="X100" s="706"/>
      <c r="Y100" s="141"/>
      <c r="Z100" s="39"/>
    </row>
    <row r="101" spans="1:26" ht="14.1" customHeight="1" x14ac:dyDescent="0.25">
      <c r="A101" s="81" t="s">
        <v>763</v>
      </c>
      <c r="B101" s="691" t="s">
        <v>764</v>
      </c>
      <c r="C101" s="699" t="s">
        <v>760</v>
      </c>
      <c r="D101" s="700">
        <v>12</v>
      </c>
      <c r="E101" s="701">
        <f>673*1*0.5</f>
        <v>336.5</v>
      </c>
      <c r="F101" s="139">
        <f t="shared" si="6"/>
        <v>4038</v>
      </c>
      <c r="G101" s="794">
        <f t="shared" si="7"/>
        <v>5693.58</v>
      </c>
      <c r="H101" s="702"/>
      <c r="I101" s="702"/>
      <c r="J101" s="702"/>
      <c r="K101" s="702"/>
      <c r="L101" s="702"/>
      <c r="M101" s="702"/>
      <c r="N101" s="702"/>
      <c r="O101" s="702"/>
      <c r="P101" s="702"/>
      <c r="Q101" s="703"/>
      <c r="R101" s="704"/>
      <c r="S101" s="705"/>
      <c r="T101" s="706"/>
      <c r="U101" s="705"/>
      <c r="V101" s="705"/>
      <c r="W101" s="706"/>
      <c r="X101" s="706"/>
      <c r="Y101" s="141"/>
      <c r="Z101" s="39"/>
    </row>
    <row r="102" spans="1:26" ht="14.1" customHeight="1" x14ac:dyDescent="0.25">
      <c r="A102" s="81" t="s">
        <v>765</v>
      </c>
      <c r="B102" s="691" t="s">
        <v>766</v>
      </c>
      <c r="C102" s="699" t="s">
        <v>742</v>
      </c>
      <c r="D102" s="700">
        <v>12</v>
      </c>
      <c r="E102" s="701">
        <f>1499*0.3</f>
        <v>449.7</v>
      </c>
      <c r="F102" s="139">
        <f t="shared" si="6"/>
        <v>5396.4</v>
      </c>
      <c r="G102" s="794">
        <f t="shared" si="7"/>
        <v>7608.9239999999991</v>
      </c>
      <c r="H102" s="239"/>
      <c r="I102" s="239"/>
      <c r="J102" s="239"/>
      <c r="K102" s="239"/>
      <c r="L102" s="239"/>
      <c r="M102" s="239"/>
      <c r="N102" s="239"/>
      <c r="O102" s="239"/>
      <c r="P102" s="239"/>
      <c r="Q102" s="250"/>
      <c r="R102" s="261"/>
      <c r="S102" s="222"/>
      <c r="T102" s="228"/>
      <c r="U102" s="222"/>
      <c r="V102" s="222"/>
      <c r="W102" s="228"/>
      <c r="X102" s="228"/>
      <c r="Y102" s="141"/>
      <c r="Z102" s="39"/>
    </row>
    <row r="103" spans="1:26" ht="14.1" customHeight="1" x14ac:dyDescent="0.25">
      <c r="A103" s="81" t="s">
        <v>767</v>
      </c>
      <c r="B103" s="691" t="s">
        <v>768</v>
      </c>
      <c r="C103" s="699" t="s">
        <v>742</v>
      </c>
      <c r="D103" s="700">
        <v>12</v>
      </c>
      <c r="E103" s="701">
        <f>1343*0.3</f>
        <v>402.9</v>
      </c>
      <c r="F103" s="139">
        <f t="shared" si="6"/>
        <v>4834.7999999999993</v>
      </c>
      <c r="G103" s="794">
        <f t="shared" si="7"/>
        <v>6817.0679999999984</v>
      </c>
      <c r="H103" s="239"/>
      <c r="I103" s="239"/>
      <c r="J103" s="239"/>
      <c r="K103" s="239"/>
      <c r="L103" s="239"/>
      <c r="M103" s="239"/>
      <c r="N103" s="239"/>
      <c r="O103" s="239"/>
      <c r="P103" s="239"/>
      <c r="Q103" s="250"/>
      <c r="R103" s="261"/>
      <c r="S103" s="222"/>
      <c r="T103" s="228"/>
      <c r="U103" s="222"/>
      <c r="V103" s="222"/>
      <c r="W103" s="228"/>
      <c r="X103" s="228"/>
      <c r="Y103" s="141"/>
      <c r="Z103" s="39"/>
    </row>
    <row r="104" spans="1:26" ht="14.1" customHeight="1" x14ac:dyDescent="0.25">
      <c r="A104" s="81" t="s">
        <v>769</v>
      </c>
      <c r="B104" s="691" t="s">
        <v>770</v>
      </c>
      <c r="C104" s="687" t="s">
        <v>742</v>
      </c>
      <c r="D104" s="688">
        <v>12</v>
      </c>
      <c r="E104" s="689">
        <f>593*2</f>
        <v>1186</v>
      </c>
      <c r="F104" s="139">
        <f t="shared" si="6"/>
        <v>14232</v>
      </c>
      <c r="G104" s="794">
        <f t="shared" si="7"/>
        <v>20067.12</v>
      </c>
      <c r="H104" s="239"/>
      <c r="I104" s="239"/>
      <c r="J104" s="239"/>
      <c r="K104" s="239"/>
      <c r="L104" s="239"/>
      <c r="M104" s="239"/>
      <c r="N104" s="239"/>
      <c r="O104" s="239"/>
      <c r="P104" s="239"/>
      <c r="Q104" s="250"/>
      <c r="R104" s="261"/>
      <c r="S104" s="222">
        <f t="shared" si="1"/>
        <v>-14232</v>
      </c>
      <c r="T104" s="228">
        <f t="shared" si="2"/>
        <v>-1</v>
      </c>
      <c r="U104" s="222">
        <f t="shared" si="3"/>
        <v>0</v>
      </c>
      <c r="V104" s="222">
        <f t="shared" si="4"/>
        <v>-20067.12</v>
      </c>
      <c r="W104" s="228">
        <f t="shared" si="5"/>
        <v>-1</v>
      </c>
      <c r="X104" s="228"/>
      <c r="Y104" s="141"/>
      <c r="Z104" s="39"/>
    </row>
    <row r="105" spans="1:26" ht="14.1" customHeight="1" x14ac:dyDescent="0.25">
      <c r="A105" s="81" t="s">
        <v>771</v>
      </c>
      <c r="B105" s="691" t="s">
        <v>772</v>
      </c>
      <c r="C105" s="699" t="s">
        <v>742</v>
      </c>
      <c r="D105" s="700">
        <v>12</v>
      </c>
      <c r="E105" s="689">
        <f>418*2*0.5</f>
        <v>418</v>
      </c>
      <c r="F105" s="139">
        <f t="shared" si="6"/>
        <v>5016</v>
      </c>
      <c r="G105" s="794">
        <f t="shared" si="7"/>
        <v>7072.5599999999995</v>
      </c>
      <c r="H105" s="239"/>
      <c r="I105" s="239"/>
      <c r="J105" s="239"/>
      <c r="K105" s="239"/>
      <c r="L105" s="239"/>
      <c r="M105" s="239"/>
      <c r="N105" s="239"/>
      <c r="O105" s="239"/>
      <c r="P105" s="239"/>
      <c r="Q105" s="250"/>
      <c r="R105" s="261"/>
      <c r="S105" s="222"/>
      <c r="T105" s="228"/>
      <c r="U105" s="222"/>
      <c r="V105" s="222"/>
      <c r="W105" s="228"/>
      <c r="X105" s="228"/>
      <c r="Y105" s="141"/>
      <c r="Z105" s="39"/>
    </row>
    <row r="106" spans="1:26" ht="14.1" customHeight="1" thickBot="1" x14ac:dyDescent="0.3">
      <c r="A106" s="103"/>
      <c r="B106" s="150" t="s">
        <v>85</v>
      </c>
      <c r="C106" s="480"/>
      <c r="D106" s="499"/>
      <c r="E106" s="485"/>
      <c r="F106" s="796">
        <f>SUM(F81:F105)</f>
        <v>166522.15464999998</v>
      </c>
      <c r="G106" s="796">
        <f>SUM(G81:G105)</f>
        <v>234796.23805649995</v>
      </c>
      <c r="H106" s="556"/>
      <c r="I106" s="556"/>
      <c r="J106" s="556"/>
      <c r="K106" s="556"/>
      <c r="L106" s="556"/>
      <c r="M106" s="556"/>
      <c r="N106" s="556"/>
      <c r="O106" s="556"/>
      <c r="P106" s="556"/>
      <c r="Q106" s="557"/>
      <c r="R106" s="558"/>
      <c r="S106" s="234">
        <f t="shared" si="1"/>
        <v>-166522.15464999998</v>
      </c>
      <c r="T106" s="235">
        <f t="shared" si="2"/>
        <v>-1</v>
      </c>
      <c r="U106" s="234">
        <f t="shared" si="3"/>
        <v>0</v>
      </c>
      <c r="V106" s="234">
        <f t="shared" si="4"/>
        <v>-234796.23805649995</v>
      </c>
      <c r="W106" s="235">
        <f t="shared" si="5"/>
        <v>-1</v>
      </c>
      <c r="X106" s="235"/>
      <c r="Y106" s="141"/>
      <c r="Z106" s="39"/>
    </row>
    <row r="107" spans="1:26" ht="14.1" customHeight="1" thickTop="1" x14ac:dyDescent="0.25">
      <c r="A107" s="91"/>
      <c r="B107" s="74"/>
      <c r="C107" s="453"/>
      <c r="D107" s="454"/>
      <c r="E107" s="458"/>
      <c r="F107" s="785"/>
      <c r="G107" s="86"/>
      <c r="H107" s="238"/>
      <c r="I107" s="238"/>
      <c r="J107" s="238"/>
      <c r="K107" s="238"/>
      <c r="L107" s="238"/>
      <c r="M107" s="238"/>
      <c r="N107" s="238"/>
      <c r="O107" s="238"/>
      <c r="P107" s="238"/>
      <c r="Q107" s="251"/>
      <c r="R107" s="257"/>
      <c r="S107" s="222"/>
      <c r="T107" s="228"/>
      <c r="U107" s="222"/>
      <c r="V107" s="222"/>
      <c r="W107" s="228"/>
      <c r="X107" s="228"/>
      <c r="Y107" s="141"/>
      <c r="Z107" s="39"/>
    </row>
    <row r="108" spans="1:26" ht="14.1" customHeight="1" x14ac:dyDescent="0.25">
      <c r="A108" s="707">
        <v>2</v>
      </c>
      <c r="B108" s="708" t="s">
        <v>99</v>
      </c>
      <c r="C108" s="709"/>
      <c r="D108" s="710"/>
      <c r="E108" s="711"/>
      <c r="F108" s="797"/>
      <c r="G108" s="798"/>
      <c r="H108" s="712"/>
      <c r="I108" s="712"/>
      <c r="J108" s="712"/>
      <c r="K108" s="712"/>
      <c r="L108" s="712"/>
      <c r="M108" s="712"/>
      <c r="N108" s="712"/>
      <c r="O108" s="712"/>
      <c r="P108" s="712"/>
      <c r="Q108" s="713"/>
      <c r="R108" s="714"/>
      <c r="S108" s="222"/>
      <c r="T108" s="228"/>
      <c r="U108" s="222"/>
      <c r="V108" s="222"/>
      <c r="W108" s="228"/>
      <c r="X108" s="228"/>
      <c r="Y108" s="686"/>
      <c r="Z108" s="39"/>
    </row>
    <row r="109" spans="1:26" ht="14.1" customHeight="1" x14ac:dyDescent="0.25">
      <c r="A109" s="715" t="s">
        <v>100</v>
      </c>
      <c r="B109" s="716" t="s">
        <v>70</v>
      </c>
      <c r="C109" s="717"/>
      <c r="D109" s="718"/>
      <c r="E109" s="719"/>
      <c r="F109" s="799">
        <f>SUM(F110:F114)</f>
        <v>0</v>
      </c>
      <c r="G109" s="800">
        <f>SUM(G110:G114)</f>
        <v>0</v>
      </c>
      <c r="H109" s="695"/>
      <c r="I109" s="695"/>
      <c r="J109" s="695"/>
      <c r="K109" s="695"/>
      <c r="L109" s="695"/>
      <c r="M109" s="695"/>
      <c r="N109" s="695"/>
      <c r="O109" s="695"/>
      <c r="P109" s="695"/>
      <c r="Q109" s="696"/>
      <c r="R109" s="255"/>
      <c r="S109" s="236">
        <f t="shared" si="1"/>
        <v>0</v>
      </c>
      <c r="T109" s="237">
        <f t="shared" si="2"/>
        <v>0</v>
      </c>
      <c r="U109" s="236">
        <f t="shared" si="3"/>
        <v>0</v>
      </c>
      <c r="V109" s="236">
        <f t="shared" si="4"/>
        <v>0</v>
      </c>
      <c r="W109" s="237">
        <f t="shared" si="5"/>
        <v>0</v>
      </c>
      <c r="X109" s="237"/>
      <c r="Y109" s="686"/>
      <c r="Z109" s="39"/>
    </row>
    <row r="110" spans="1:26" ht="14.1" hidden="1" customHeight="1" x14ac:dyDescent="0.25">
      <c r="A110" s="157" t="s">
        <v>200</v>
      </c>
      <c r="B110" s="720" t="s">
        <v>252</v>
      </c>
      <c r="C110" s="721"/>
      <c r="D110" s="722"/>
      <c r="E110" s="723"/>
      <c r="F110" s="139">
        <f>D110*E110</f>
        <v>0</v>
      </c>
      <c r="G110" s="126">
        <f>F110*C4</f>
        <v>0</v>
      </c>
      <c r="H110" s="695"/>
      <c r="I110" s="695"/>
      <c r="J110" s="695"/>
      <c r="K110" s="695"/>
      <c r="L110" s="695"/>
      <c r="M110" s="695"/>
      <c r="N110" s="695"/>
      <c r="O110" s="695"/>
      <c r="P110" s="695"/>
      <c r="Q110" s="696"/>
      <c r="R110" s="255"/>
      <c r="S110" s="222">
        <f t="shared" si="1"/>
        <v>0</v>
      </c>
      <c r="T110" s="228">
        <f t="shared" si="2"/>
        <v>0</v>
      </c>
      <c r="U110" s="222">
        <f t="shared" si="3"/>
        <v>0</v>
      </c>
      <c r="V110" s="222">
        <f t="shared" si="4"/>
        <v>0</v>
      </c>
      <c r="W110" s="228">
        <f t="shared" si="5"/>
        <v>0</v>
      </c>
      <c r="X110" s="228"/>
      <c r="Y110" s="686"/>
      <c r="Z110" s="39"/>
    </row>
    <row r="111" spans="1:26" ht="14.1" hidden="1" customHeight="1" x14ac:dyDescent="0.25">
      <c r="A111" s="157" t="s">
        <v>201</v>
      </c>
      <c r="B111" s="720" t="s">
        <v>253</v>
      </c>
      <c r="C111" s="721"/>
      <c r="D111" s="722"/>
      <c r="E111" s="723"/>
      <c r="F111" s="139">
        <f>D111*E111</f>
        <v>0</v>
      </c>
      <c r="G111" s="126">
        <f>F111*C4</f>
        <v>0</v>
      </c>
      <c r="H111" s="695"/>
      <c r="I111" s="695"/>
      <c r="J111" s="695"/>
      <c r="K111" s="695"/>
      <c r="L111" s="695"/>
      <c r="M111" s="695"/>
      <c r="N111" s="695"/>
      <c r="O111" s="695"/>
      <c r="P111" s="695"/>
      <c r="Q111" s="696"/>
      <c r="R111" s="255"/>
      <c r="S111" s="222">
        <f t="shared" si="1"/>
        <v>0</v>
      </c>
      <c r="T111" s="228">
        <f t="shared" si="2"/>
        <v>0</v>
      </c>
      <c r="U111" s="222">
        <f t="shared" si="3"/>
        <v>0</v>
      </c>
      <c r="V111" s="222">
        <f t="shared" si="4"/>
        <v>0</v>
      </c>
      <c r="W111" s="228">
        <f t="shared" si="5"/>
        <v>0</v>
      </c>
      <c r="X111" s="228"/>
      <c r="Y111" s="686"/>
      <c r="Z111" s="39"/>
    </row>
    <row r="112" spans="1:26" ht="14.1" hidden="1" customHeight="1" x14ac:dyDescent="0.25">
      <c r="A112" s="157" t="s">
        <v>202</v>
      </c>
      <c r="B112" s="720" t="s">
        <v>254</v>
      </c>
      <c r="C112" s="721"/>
      <c r="D112" s="722"/>
      <c r="E112" s="723"/>
      <c r="F112" s="139">
        <f>D112*E112</f>
        <v>0</v>
      </c>
      <c r="G112" s="126">
        <f>F112*C4</f>
        <v>0</v>
      </c>
      <c r="H112" s="695"/>
      <c r="I112" s="695"/>
      <c r="J112" s="695"/>
      <c r="K112" s="695"/>
      <c r="L112" s="695"/>
      <c r="M112" s="695"/>
      <c r="N112" s="695"/>
      <c r="O112" s="695"/>
      <c r="P112" s="695"/>
      <c r="Q112" s="696"/>
      <c r="R112" s="255"/>
      <c r="S112" s="222">
        <f t="shared" si="1"/>
        <v>0</v>
      </c>
      <c r="T112" s="228">
        <f t="shared" si="2"/>
        <v>0</v>
      </c>
      <c r="U112" s="222">
        <f t="shared" si="3"/>
        <v>0</v>
      </c>
      <c r="V112" s="222">
        <f t="shared" si="4"/>
        <v>0</v>
      </c>
      <c r="W112" s="228">
        <f t="shared" si="5"/>
        <v>0</v>
      </c>
      <c r="X112" s="228"/>
      <c r="Y112" s="686"/>
      <c r="Z112" s="39"/>
    </row>
    <row r="113" spans="1:26" ht="14.1" hidden="1" customHeight="1" x14ac:dyDescent="0.25">
      <c r="A113" s="157" t="s">
        <v>203</v>
      </c>
      <c r="B113" s="720" t="s">
        <v>255</v>
      </c>
      <c r="C113" s="721"/>
      <c r="D113" s="722"/>
      <c r="E113" s="723"/>
      <c r="F113" s="139">
        <f>D113*E113</f>
        <v>0</v>
      </c>
      <c r="G113" s="126">
        <f>F113*C4</f>
        <v>0</v>
      </c>
      <c r="H113" s="695"/>
      <c r="I113" s="695"/>
      <c r="J113" s="695"/>
      <c r="K113" s="695"/>
      <c r="L113" s="695"/>
      <c r="M113" s="695"/>
      <c r="N113" s="695"/>
      <c r="O113" s="695"/>
      <c r="P113" s="695"/>
      <c r="Q113" s="696"/>
      <c r="R113" s="255"/>
      <c r="S113" s="222">
        <f t="shared" si="1"/>
        <v>0</v>
      </c>
      <c r="T113" s="228">
        <f t="shared" si="2"/>
        <v>0</v>
      </c>
      <c r="U113" s="222">
        <f t="shared" si="3"/>
        <v>0</v>
      </c>
      <c r="V113" s="222">
        <f t="shared" si="4"/>
        <v>0</v>
      </c>
      <c r="W113" s="228">
        <f t="shared" si="5"/>
        <v>0</v>
      </c>
      <c r="X113" s="228"/>
      <c r="Y113" s="686"/>
      <c r="Z113" s="39"/>
    </row>
    <row r="114" spans="1:26" ht="14.1" hidden="1" customHeight="1" x14ac:dyDescent="0.25">
      <c r="A114" s="157" t="s">
        <v>204</v>
      </c>
      <c r="B114" s="720" t="s">
        <v>256</v>
      </c>
      <c r="C114" s="721"/>
      <c r="D114" s="722"/>
      <c r="E114" s="723"/>
      <c r="F114" s="139">
        <f>D114*E114</f>
        <v>0</v>
      </c>
      <c r="G114" s="126">
        <f>F114*C4</f>
        <v>0</v>
      </c>
      <c r="H114" s="695"/>
      <c r="I114" s="695"/>
      <c r="J114" s="695"/>
      <c r="K114" s="695"/>
      <c r="L114" s="695"/>
      <c r="M114" s="695"/>
      <c r="N114" s="695"/>
      <c r="O114" s="695"/>
      <c r="P114" s="695"/>
      <c r="Q114" s="696"/>
      <c r="R114" s="255"/>
      <c r="S114" s="222">
        <f t="shared" si="1"/>
        <v>0</v>
      </c>
      <c r="T114" s="228">
        <f t="shared" si="2"/>
        <v>0</v>
      </c>
      <c r="U114" s="222">
        <f t="shared" si="3"/>
        <v>0</v>
      </c>
      <c r="V114" s="222">
        <f t="shared" si="4"/>
        <v>0</v>
      </c>
      <c r="W114" s="228">
        <f t="shared" si="5"/>
        <v>0</v>
      </c>
      <c r="X114" s="228"/>
      <c r="Y114" s="686"/>
      <c r="Z114" s="39"/>
    </row>
    <row r="115" spans="1:26" ht="14.1" customHeight="1" x14ac:dyDescent="0.25">
      <c r="A115" s="715" t="s">
        <v>101</v>
      </c>
      <c r="B115" s="716" t="s">
        <v>59</v>
      </c>
      <c r="C115" s="717"/>
      <c r="D115" s="718"/>
      <c r="E115" s="719"/>
      <c r="F115" s="799">
        <f>SUM(F116:F120)</f>
        <v>0</v>
      </c>
      <c r="G115" s="800">
        <f>SUM(G116:G120)</f>
        <v>0</v>
      </c>
      <c r="H115" s="695"/>
      <c r="I115" s="695"/>
      <c r="J115" s="695"/>
      <c r="K115" s="695"/>
      <c r="L115" s="695"/>
      <c r="M115" s="695"/>
      <c r="N115" s="695"/>
      <c r="O115" s="695"/>
      <c r="P115" s="695"/>
      <c r="Q115" s="696"/>
      <c r="R115" s="255"/>
      <c r="S115" s="236">
        <f t="shared" si="1"/>
        <v>0</v>
      </c>
      <c r="T115" s="237">
        <f t="shared" si="2"/>
        <v>0</v>
      </c>
      <c r="U115" s="236">
        <f t="shared" si="3"/>
        <v>0</v>
      </c>
      <c r="V115" s="236">
        <f t="shared" si="4"/>
        <v>0</v>
      </c>
      <c r="W115" s="237">
        <f t="shared" si="5"/>
        <v>0</v>
      </c>
      <c r="X115" s="237"/>
      <c r="Y115" s="686"/>
      <c r="Z115" s="39"/>
    </row>
    <row r="116" spans="1:26" ht="14.1" hidden="1" customHeight="1" x14ac:dyDescent="0.25">
      <c r="A116" s="157" t="s">
        <v>205</v>
      </c>
      <c r="B116" s="720" t="s">
        <v>257</v>
      </c>
      <c r="C116" s="721"/>
      <c r="D116" s="722"/>
      <c r="E116" s="723"/>
      <c r="F116" s="139">
        <f>D116*E116</f>
        <v>0</v>
      </c>
      <c r="G116" s="126">
        <f>F116*C4</f>
        <v>0</v>
      </c>
      <c r="H116" s="695"/>
      <c r="I116" s="695"/>
      <c r="J116" s="695"/>
      <c r="K116" s="695"/>
      <c r="L116" s="695"/>
      <c r="M116" s="695"/>
      <c r="N116" s="695"/>
      <c r="O116" s="695"/>
      <c r="P116" s="695"/>
      <c r="Q116" s="696"/>
      <c r="R116" s="255"/>
      <c r="S116" s="222">
        <f t="shared" si="1"/>
        <v>0</v>
      </c>
      <c r="T116" s="228">
        <f t="shared" si="2"/>
        <v>0</v>
      </c>
      <c r="U116" s="222">
        <f t="shared" si="3"/>
        <v>0</v>
      </c>
      <c r="V116" s="222">
        <f t="shared" si="4"/>
        <v>0</v>
      </c>
      <c r="W116" s="228">
        <f t="shared" si="5"/>
        <v>0</v>
      </c>
      <c r="X116" s="228"/>
      <c r="Y116" s="686"/>
      <c r="Z116" s="39"/>
    </row>
    <row r="117" spans="1:26" ht="14.1" hidden="1" customHeight="1" x14ac:dyDescent="0.25">
      <c r="A117" s="157" t="s">
        <v>206</v>
      </c>
      <c r="B117" s="720" t="s">
        <v>261</v>
      </c>
      <c r="C117" s="721"/>
      <c r="D117" s="722"/>
      <c r="E117" s="723"/>
      <c r="F117" s="139">
        <f>D117*E117</f>
        <v>0</v>
      </c>
      <c r="G117" s="126">
        <f>F117*C4</f>
        <v>0</v>
      </c>
      <c r="H117" s="695"/>
      <c r="I117" s="695"/>
      <c r="J117" s="695"/>
      <c r="K117" s="695"/>
      <c r="L117" s="695"/>
      <c r="M117" s="695"/>
      <c r="N117" s="695"/>
      <c r="O117" s="695"/>
      <c r="P117" s="695"/>
      <c r="Q117" s="696"/>
      <c r="R117" s="255"/>
      <c r="S117" s="222">
        <f t="shared" si="1"/>
        <v>0</v>
      </c>
      <c r="T117" s="228">
        <f t="shared" si="2"/>
        <v>0</v>
      </c>
      <c r="U117" s="222">
        <f t="shared" si="3"/>
        <v>0</v>
      </c>
      <c r="V117" s="222">
        <f t="shared" si="4"/>
        <v>0</v>
      </c>
      <c r="W117" s="228">
        <f t="shared" si="5"/>
        <v>0</v>
      </c>
      <c r="X117" s="228"/>
      <c r="Y117" s="686"/>
      <c r="Z117" s="39"/>
    </row>
    <row r="118" spans="1:26" ht="14.1" hidden="1" customHeight="1" x14ac:dyDescent="0.25">
      <c r="A118" s="157" t="s">
        <v>207</v>
      </c>
      <c r="B118" s="720" t="s">
        <v>260</v>
      </c>
      <c r="C118" s="721"/>
      <c r="D118" s="722"/>
      <c r="E118" s="723"/>
      <c r="F118" s="139">
        <f>D118*E118</f>
        <v>0</v>
      </c>
      <c r="G118" s="126">
        <f>F118*C4</f>
        <v>0</v>
      </c>
      <c r="H118" s="695"/>
      <c r="I118" s="695"/>
      <c r="J118" s="695"/>
      <c r="K118" s="695"/>
      <c r="L118" s="695"/>
      <c r="M118" s="695"/>
      <c r="N118" s="695"/>
      <c r="O118" s="695"/>
      <c r="P118" s="695"/>
      <c r="Q118" s="696"/>
      <c r="R118" s="255"/>
      <c r="S118" s="222">
        <f t="shared" si="1"/>
        <v>0</v>
      </c>
      <c r="T118" s="228">
        <f t="shared" si="2"/>
        <v>0</v>
      </c>
      <c r="U118" s="222">
        <f t="shared" si="3"/>
        <v>0</v>
      </c>
      <c r="V118" s="222">
        <f t="shared" si="4"/>
        <v>0</v>
      </c>
      <c r="W118" s="228">
        <f t="shared" si="5"/>
        <v>0</v>
      </c>
      <c r="X118" s="228"/>
      <c r="Y118" s="686"/>
      <c r="Z118" s="39"/>
    </row>
    <row r="119" spans="1:26" ht="14.1" hidden="1" customHeight="1" x14ac:dyDescent="0.25">
      <c r="A119" s="157" t="s">
        <v>208</v>
      </c>
      <c r="B119" s="720" t="s">
        <v>259</v>
      </c>
      <c r="C119" s="721"/>
      <c r="D119" s="722"/>
      <c r="E119" s="723"/>
      <c r="F119" s="139">
        <f>D119*E119</f>
        <v>0</v>
      </c>
      <c r="G119" s="126">
        <f>F119*C4</f>
        <v>0</v>
      </c>
      <c r="H119" s="695"/>
      <c r="I119" s="695"/>
      <c r="J119" s="695"/>
      <c r="K119" s="695"/>
      <c r="L119" s="695"/>
      <c r="M119" s="695"/>
      <c r="N119" s="695"/>
      <c r="O119" s="695"/>
      <c r="P119" s="695"/>
      <c r="Q119" s="696"/>
      <c r="R119" s="255"/>
      <c r="S119" s="222">
        <f t="shared" si="1"/>
        <v>0</v>
      </c>
      <c r="T119" s="228">
        <f t="shared" si="2"/>
        <v>0</v>
      </c>
      <c r="U119" s="222">
        <f t="shared" si="3"/>
        <v>0</v>
      </c>
      <c r="V119" s="222">
        <f t="shared" si="4"/>
        <v>0</v>
      </c>
      <c r="W119" s="228">
        <f t="shared" si="5"/>
        <v>0</v>
      </c>
      <c r="X119" s="228"/>
      <c r="Y119" s="686"/>
      <c r="Z119" s="39"/>
    </row>
    <row r="120" spans="1:26" ht="14.1" hidden="1" customHeight="1" x14ac:dyDescent="0.25">
      <c r="A120" s="157" t="s">
        <v>209</v>
      </c>
      <c r="B120" s="720" t="s">
        <v>258</v>
      </c>
      <c r="C120" s="721"/>
      <c r="D120" s="722"/>
      <c r="E120" s="723"/>
      <c r="F120" s="139">
        <f>D120*E120</f>
        <v>0</v>
      </c>
      <c r="G120" s="126">
        <f>F120*C4</f>
        <v>0</v>
      </c>
      <c r="H120" s="695"/>
      <c r="I120" s="695"/>
      <c r="J120" s="695"/>
      <c r="K120" s="695"/>
      <c r="L120" s="695"/>
      <c r="M120" s="695"/>
      <c r="N120" s="695"/>
      <c r="O120" s="695"/>
      <c r="P120" s="695"/>
      <c r="Q120" s="696"/>
      <c r="R120" s="255"/>
      <c r="S120" s="222">
        <f t="shared" si="1"/>
        <v>0</v>
      </c>
      <c r="T120" s="228">
        <f t="shared" si="2"/>
        <v>0</v>
      </c>
      <c r="U120" s="222">
        <f t="shared" si="3"/>
        <v>0</v>
      </c>
      <c r="V120" s="222">
        <f t="shared" si="4"/>
        <v>0</v>
      </c>
      <c r="W120" s="228">
        <f t="shared" si="5"/>
        <v>0</v>
      </c>
      <c r="X120" s="228"/>
      <c r="Y120" s="686"/>
      <c r="Z120" s="39"/>
    </row>
    <row r="121" spans="1:26" ht="14.1" customHeight="1" x14ac:dyDescent="0.25">
      <c r="A121" s="715" t="s">
        <v>102</v>
      </c>
      <c r="B121" s="716" t="s">
        <v>71</v>
      </c>
      <c r="C121" s="717"/>
      <c r="D121" s="718"/>
      <c r="E121" s="719"/>
      <c r="F121" s="799">
        <f>SUM(F122:F126)</f>
        <v>0</v>
      </c>
      <c r="G121" s="800">
        <f>SUM(G122:G126)</f>
        <v>0</v>
      </c>
      <c r="H121" s="695"/>
      <c r="I121" s="695"/>
      <c r="J121" s="695"/>
      <c r="K121" s="695"/>
      <c r="L121" s="695"/>
      <c r="M121" s="695"/>
      <c r="N121" s="695"/>
      <c r="O121" s="695"/>
      <c r="P121" s="695"/>
      <c r="Q121" s="696"/>
      <c r="R121" s="255"/>
      <c r="S121" s="236">
        <f t="shared" si="1"/>
        <v>0</v>
      </c>
      <c r="T121" s="237">
        <f t="shared" si="2"/>
        <v>0</v>
      </c>
      <c r="U121" s="236">
        <f t="shared" si="3"/>
        <v>0</v>
      </c>
      <c r="V121" s="236">
        <f t="shared" si="4"/>
        <v>0</v>
      </c>
      <c r="W121" s="237">
        <f t="shared" si="5"/>
        <v>0</v>
      </c>
      <c r="X121" s="237"/>
      <c r="Y121" s="686"/>
      <c r="Z121" s="39"/>
    </row>
    <row r="122" spans="1:26" ht="14.1" hidden="1" customHeight="1" x14ac:dyDescent="0.25">
      <c r="A122" s="157" t="s">
        <v>210</v>
      </c>
      <c r="B122" s="720" t="s">
        <v>262</v>
      </c>
      <c r="C122" s="721"/>
      <c r="D122" s="722"/>
      <c r="E122" s="723"/>
      <c r="F122" s="139">
        <f>D122*E122</f>
        <v>0</v>
      </c>
      <c r="G122" s="126">
        <f>F122*C4</f>
        <v>0</v>
      </c>
      <c r="H122" s="695"/>
      <c r="I122" s="695"/>
      <c r="J122" s="695"/>
      <c r="K122" s="695"/>
      <c r="L122" s="695"/>
      <c r="M122" s="695"/>
      <c r="N122" s="695"/>
      <c r="O122" s="695"/>
      <c r="P122" s="695"/>
      <c r="Q122" s="696"/>
      <c r="R122" s="255"/>
      <c r="S122" s="222">
        <f t="shared" si="1"/>
        <v>0</v>
      </c>
      <c r="T122" s="228">
        <f t="shared" si="2"/>
        <v>0</v>
      </c>
      <c r="U122" s="222">
        <f t="shared" si="3"/>
        <v>0</v>
      </c>
      <c r="V122" s="222">
        <f t="shared" si="4"/>
        <v>0</v>
      </c>
      <c r="W122" s="228">
        <f t="shared" si="5"/>
        <v>0</v>
      </c>
      <c r="X122" s="228"/>
      <c r="Y122" s="686"/>
      <c r="Z122" s="39"/>
    </row>
    <row r="123" spans="1:26" ht="14.1" hidden="1" customHeight="1" x14ac:dyDescent="0.25">
      <c r="A123" s="157" t="s">
        <v>211</v>
      </c>
      <c r="B123" s="720" t="s">
        <v>263</v>
      </c>
      <c r="C123" s="721"/>
      <c r="D123" s="722"/>
      <c r="E123" s="723"/>
      <c r="F123" s="139">
        <f>D123*E123</f>
        <v>0</v>
      </c>
      <c r="G123" s="126">
        <f>F123*C4</f>
        <v>0</v>
      </c>
      <c r="H123" s="695"/>
      <c r="I123" s="695"/>
      <c r="J123" s="695"/>
      <c r="K123" s="695"/>
      <c r="L123" s="695"/>
      <c r="M123" s="695"/>
      <c r="N123" s="695"/>
      <c r="O123" s="695"/>
      <c r="P123" s="695"/>
      <c r="Q123" s="696"/>
      <c r="R123" s="255"/>
      <c r="S123" s="222">
        <f t="shared" si="1"/>
        <v>0</v>
      </c>
      <c r="T123" s="228">
        <f t="shared" si="2"/>
        <v>0</v>
      </c>
      <c r="U123" s="222">
        <f t="shared" si="3"/>
        <v>0</v>
      </c>
      <c r="V123" s="222">
        <f t="shared" si="4"/>
        <v>0</v>
      </c>
      <c r="W123" s="228">
        <f t="shared" si="5"/>
        <v>0</v>
      </c>
      <c r="X123" s="228"/>
      <c r="Y123" s="686"/>
      <c r="Z123" s="39"/>
    </row>
    <row r="124" spans="1:26" ht="14.1" hidden="1" customHeight="1" x14ac:dyDescent="0.25">
      <c r="A124" s="157" t="s">
        <v>212</v>
      </c>
      <c r="B124" s="720" t="s">
        <v>264</v>
      </c>
      <c r="C124" s="721"/>
      <c r="D124" s="722"/>
      <c r="E124" s="723"/>
      <c r="F124" s="139">
        <f>D124*E124</f>
        <v>0</v>
      </c>
      <c r="G124" s="126">
        <f>F124*C4</f>
        <v>0</v>
      </c>
      <c r="H124" s="695"/>
      <c r="I124" s="695"/>
      <c r="J124" s="695"/>
      <c r="K124" s="695"/>
      <c r="L124" s="695"/>
      <c r="M124" s="695"/>
      <c r="N124" s="695"/>
      <c r="O124" s="695"/>
      <c r="P124" s="695"/>
      <c r="Q124" s="696"/>
      <c r="R124" s="255"/>
      <c r="S124" s="222">
        <f t="shared" si="1"/>
        <v>0</v>
      </c>
      <c r="T124" s="228">
        <f t="shared" si="2"/>
        <v>0</v>
      </c>
      <c r="U124" s="222">
        <f t="shared" si="3"/>
        <v>0</v>
      </c>
      <c r="V124" s="222">
        <f t="shared" si="4"/>
        <v>0</v>
      </c>
      <c r="W124" s="228">
        <f t="shared" si="5"/>
        <v>0</v>
      </c>
      <c r="X124" s="228"/>
      <c r="Y124" s="686"/>
      <c r="Z124" s="39"/>
    </row>
    <row r="125" spans="1:26" ht="14.1" hidden="1" customHeight="1" x14ac:dyDescent="0.25">
      <c r="A125" s="157" t="s">
        <v>213</v>
      </c>
      <c r="B125" s="720" t="s">
        <v>265</v>
      </c>
      <c r="C125" s="721"/>
      <c r="D125" s="722"/>
      <c r="E125" s="723"/>
      <c r="F125" s="139">
        <f>D125*E125</f>
        <v>0</v>
      </c>
      <c r="G125" s="126">
        <f>F125*C4</f>
        <v>0</v>
      </c>
      <c r="H125" s="695"/>
      <c r="I125" s="695"/>
      <c r="J125" s="695"/>
      <c r="K125" s="695"/>
      <c r="L125" s="695"/>
      <c r="M125" s="695"/>
      <c r="N125" s="695"/>
      <c r="O125" s="695"/>
      <c r="P125" s="695"/>
      <c r="Q125" s="696"/>
      <c r="R125" s="255"/>
      <c r="S125" s="222">
        <f t="shared" si="1"/>
        <v>0</v>
      </c>
      <c r="T125" s="228">
        <f t="shared" si="2"/>
        <v>0</v>
      </c>
      <c r="U125" s="222">
        <f t="shared" si="3"/>
        <v>0</v>
      </c>
      <c r="V125" s="222">
        <f t="shared" si="4"/>
        <v>0</v>
      </c>
      <c r="W125" s="228">
        <f t="shared" si="5"/>
        <v>0</v>
      </c>
      <c r="X125" s="228"/>
      <c r="Y125" s="686"/>
      <c r="Z125" s="39"/>
    </row>
    <row r="126" spans="1:26" ht="14.1" hidden="1" customHeight="1" x14ac:dyDescent="0.25">
      <c r="A126" s="157" t="s">
        <v>214</v>
      </c>
      <c r="B126" s="720" t="s">
        <v>266</v>
      </c>
      <c r="C126" s="721"/>
      <c r="D126" s="722"/>
      <c r="E126" s="723"/>
      <c r="F126" s="139">
        <f>D126*E126</f>
        <v>0</v>
      </c>
      <c r="G126" s="126">
        <f>F126*C4</f>
        <v>0</v>
      </c>
      <c r="H126" s="695"/>
      <c r="I126" s="695"/>
      <c r="J126" s="695"/>
      <c r="K126" s="695"/>
      <c r="L126" s="695"/>
      <c r="M126" s="695"/>
      <c r="N126" s="695"/>
      <c r="O126" s="695"/>
      <c r="P126" s="695"/>
      <c r="Q126" s="696"/>
      <c r="R126" s="255"/>
      <c r="S126" s="222">
        <f t="shared" si="1"/>
        <v>0</v>
      </c>
      <c r="T126" s="228">
        <f t="shared" si="2"/>
        <v>0</v>
      </c>
      <c r="U126" s="222">
        <f t="shared" si="3"/>
        <v>0</v>
      </c>
      <c r="V126" s="222">
        <f t="shared" si="4"/>
        <v>0</v>
      </c>
      <c r="W126" s="228">
        <f t="shared" si="5"/>
        <v>0</v>
      </c>
      <c r="X126" s="228"/>
      <c r="Y126" s="686"/>
      <c r="Z126" s="39"/>
    </row>
    <row r="127" spans="1:26" ht="14.1" customHeight="1" x14ac:dyDescent="0.25">
      <c r="A127" s="715" t="s">
        <v>103</v>
      </c>
      <c r="B127" s="716" t="s">
        <v>72</v>
      </c>
      <c r="C127" s="717"/>
      <c r="D127" s="718"/>
      <c r="E127" s="719"/>
      <c r="F127" s="799">
        <f>SUM(F128:F132)</f>
        <v>0</v>
      </c>
      <c r="G127" s="800">
        <f>SUM(G128:G132)</f>
        <v>0</v>
      </c>
      <c r="H127" s="695"/>
      <c r="I127" s="695"/>
      <c r="J127" s="695"/>
      <c r="K127" s="695"/>
      <c r="L127" s="695"/>
      <c r="M127" s="695"/>
      <c r="N127" s="695"/>
      <c r="O127" s="695"/>
      <c r="P127" s="695"/>
      <c r="Q127" s="696"/>
      <c r="R127" s="255"/>
      <c r="S127" s="236">
        <f t="shared" si="1"/>
        <v>0</v>
      </c>
      <c r="T127" s="237">
        <f t="shared" si="2"/>
        <v>0</v>
      </c>
      <c r="U127" s="236">
        <f t="shared" si="3"/>
        <v>0</v>
      </c>
      <c r="V127" s="236">
        <f t="shared" si="4"/>
        <v>0</v>
      </c>
      <c r="W127" s="237">
        <f t="shared" si="5"/>
        <v>0</v>
      </c>
      <c r="X127" s="237"/>
      <c r="Y127" s="686"/>
      <c r="Z127" s="39"/>
    </row>
    <row r="128" spans="1:26" ht="14.1" hidden="1" customHeight="1" x14ac:dyDescent="0.25">
      <c r="A128" s="157" t="s">
        <v>215</v>
      </c>
      <c r="B128" s="720" t="s">
        <v>267</v>
      </c>
      <c r="C128" s="721"/>
      <c r="D128" s="722"/>
      <c r="E128" s="723"/>
      <c r="F128" s="139">
        <f>D128*E128</f>
        <v>0</v>
      </c>
      <c r="G128" s="126">
        <f>F128*C4</f>
        <v>0</v>
      </c>
      <c r="H128" s="695"/>
      <c r="I128" s="695"/>
      <c r="J128" s="695"/>
      <c r="K128" s="695"/>
      <c r="L128" s="695"/>
      <c r="M128" s="695"/>
      <c r="N128" s="695"/>
      <c r="O128" s="695"/>
      <c r="P128" s="695"/>
      <c r="Q128" s="696"/>
      <c r="R128" s="255"/>
      <c r="S128" s="222">
        <f t="shared" si="1"/>
        <v>0</v>
      </c>
      <c r="T128" s="228">
        <f t="shared" si="2"/>
        <v>0</v>
      </c>
      <c r="U128" s="222">
        <f t="shared" si="3"/>
        <v>0</v>
      </c>
      <c r="V128" s="222">
        <f t="shared" si="4"/>
        <v>0</v>
      </c>
      <c r="W128" s="228">
        <f t="shared" si="5"/>
        <v>0</v>
      </c>
      <c r="X128" s="228"/>
      <c r="Y128" s="686"/>
      <c r="Z128" s="39"/>
    </row>
    <row r="129" spans="1:26" ht="14.1" hidden="1" customHeight="1" x14ac:dyDescent="0.25">
      <c r="A129" s="157" t="s">
        <v>216</v>
      </c>
      <c r="B129" s="720" t="s">
        <v>268</v>
      </c>
      <c r="C129" s="721"/>
      <c r="D129" s="722"/>
      <c r="E129" s="723"/>
      <c r="F129" s="139">
        <f>D129*E129</f>
        <v>0</v>
      </c>
      <c r="G129" s="126">
        <f>F129*C4</f>
        <v>0</v>
      </c>
      <c r="H129" s="695"/>
      <c r="I129" s="695"/>
      <c r="J129" s="695"/>
      <c r="K129" s="695"/>
      <c r="L129" s="695"/>
      <c r="M129" s="695"/>
      <c r="N129" s="695"/>
      <c r="O129" s="695"/>
      <c r="P129" s="695"/>
      <c r="Q129" s="696"/>
      <c r="R129" s="255"/>
      <c r="S129" s="222">
        <f t="shared" si="1"/>
        <v>0</v>
      </c>
      <c r="T129" s="228">
        <f t="shared" si="2"/>
        <v>0</v>
      </c>
      <c r="U129" s="222">
        <f t="shared" si="3"/>
        <v>0</v>
      </c>
      <c r="V129" s="222">
        <f t="shared" si="4"/>
        <v>0</v>
      </c>
      <c r="W129" s="228">
        <f t="shared" si="5"/>
        <v>0</v>
      </c>
      <c r="X129" s="228"/>
      <c r="Y129" s="686"/>
      <c r="Z129" s="39"/>
    </row>
    <row r="130" spans="1:26" ht="14.1" hidden="1" customHeight="1" x14ac:dyDescent="0.25">
      <c r="A130" s="157" t="s">
        <v>217</v>
      </c>
      <c r="B130" s="720" t="s">
        <v>269</v>
      </c>
      <c r="C130" s="721"/>
      <c r="D130" s="722"/>
      <c r="E130" s="723"/>
      <c r="F130" s="139">
        <f>D130*E130</f>
        <v>0</v>
      </c>
      <c r="G130" s="126">
        <f>F130*C4</f>
        <v>0</v>
      </c>
      <c r="H130" s="695"/>
      <c r="I130" s="695"/>
      <c r="J130" s="695"/>
      <c r="K130" s="695"/>
      <c r="L130" s="695"/>
      <c r="M130" s="695"/>
      <c r="N130" s="695"/>
      <c r="O130" s="695"/>
      <c r="P130" s="695"/>
      <c r="Q130" s="696"/>
      <c r="R130" s="255"/>
      <c r="S130" s="222">
        <f t="shared" si="1"/>
        <v>0</v>
      </c>
      <c r="T130" s="228">
        <f t="shared" si="2"/>
        <v>0</v>
      </c>
      <c r="U130" s="222">
        <f t="shared" si="3"/>
        <v>0</v>
      </c>
      <c r="V130" s="222">
        <f t="shared" si="4"/>
        <v>0</v>
      </c>
      <c r="W130" s="228">
        <f t="shared" si="5"/>
        <v>0</v>
      </c>
      <c r="X130" s="228"/>
      <c r="Y130" s="686"/>
      <c r="Z130" s="39"/>
    </row>
    <row r="131" spans="1:26" ht="14.1" hidden="1" customHeight="1" x14ac:dyDescent="0.25">
      <c r="A131" s="157" t="s">
        <v>218</v>
      </c>
      <c r="B131" s="720" t="s">
        <v>270</v>
      </c>
      <c r="C131" s="721"/>
      <c r="D131" s="722"/>
      <c r="E131" s="723"/>
      <c r="F131" s="139">
        <f>D131*E131</f>
        <v>0</v>
      </c>
      <c r="G131" s="126">
        <f>F131*C4</f>
        <v>0</v>
      </c>
      <c r="H131" s="695"/>
      <c r="I131" s="695"/>
      <c r="J131" s="695"/>
      <c r="K131" s="695"/>
      <c r="L131" s="695"/>
      <c r="M131" s="695"/>
      <c r="N131" s="695"/>
      <c r="O131" s="695"/>
      <c r="P131" s="695"/>
      <c r="Q131" s="696"/>
      <c r="R131" s="255"/>
      <c r="S131" s="222">
        <f t="shared" si="1"/>
        <v>0</v>
      </c>
      <c r="T131" s="228">
        <f t="shared" si="2"/>
        <v>0</v>
      </c>
      <c r="U131" s="222">
        <f t="shared" si="3"/>
        <v>0</v>
      </c>
      <c r="V131" s="222">
        <f t="shared" si="4"/>
        <v>0</v>
      </c>
      <c r="W131" s="228">
        <f t="shared" si="5"/>
        <v>0</v>
      </c>
      <c r="X131" s="228"/>
      <c r="Y131" s="686"/>
      <c r="Z131" s="39"/>
    </row>
    <row r="132" spans="1:26" ht="14.1" hidden="1" customHeight="1" x14ac:dyDescent="0.25">
      <c r="A132" s="157" t="s">
        <v>219</v>
      </c>
      <c r="B132" s="720" t="s">
        <v>271</v>
      </c>
      <c r="C132" s="721"/>
      <c r="D132" s="722"/>
      <c r="E132" s="723"/>
      <c r="F132" s="139">
        <f>D132*E132</f>
        <v>0</v>
      </c>
      <c r="G132" s="126">
        <f>F132*C4</f>
        <v>0</v>
      </c>
      <c r="H132" s="695"/>
      <c r="I132" s="695"/>
      <c r="J132" s="695"/>
      <c r="K132" s="695"/>
      <c r="L132" s="695"/>
      <c r="M132" s="695"/>
      <c r="N132" s="695"/>
      <c r="O132" s="695"/>
      <c r="P132" s="695"/>
      <c r="Q132" s="696"/>
      <c r="R132" s="255"/>
      <c r="S132" s="222">
        <f t="shared" si="1"/>
        <v>0</v>
      </c>
      <c r="T132" s="228">
        <f t="shared" si="2"/>
        <v>0</v>
      </c>
      <c r="U132" s="222">
        <f t="shared" si="3"/>
        <v>0</v>
      </c>
      <c r="V132" s="222">
        <f t="shared" si="4"/>
        <v>0</v>
      </c>
      <c r="W132" s="228">
        <f t="shared" si="5"/>
        <v>0</v>
      </c>
      <c r="X132" s="228"/>
      <c r="Y132" s="686"/>
      <c r="Z132" s="39"/>
    </row>
    <row r="133" spans="1:26" ht="14.1" customHeight="1" x14ac:dyDescent="0.25">
      <c r="A133" s="715" t="s">
        <v>104</v>
      </c>
      <c r="B133" s="716" t="s">
        <v>73</v>
      </c>
      <c r="C133" s="717"/>
      <c r="D133" s="718"/>
      <c r="E133" s="719"/>
      <c r="F133" s="799">
        <f>SUM(F134:F156)</f>
        <v>137514.25</v>
      </c>
      <c r="G133" s="800">
        <f>SUM(G134:G156)</f>
        <v>193895.09249999997</v>
      </c>
      <c r="H133" s="695"/>
      <c r="I133" s="695"/>
      <c r="J133" s="695"/>
      <c r="K133" s="695"/>
      <c r="L133" s="695"/>
      <c r="M133" s="695"/>
      <c r="N133" s="695"/>
      <c r="O133" s="695"/>
      <c r="P133" s="695"/>
      <c r="Q133" s="696"/>
      <c r="R133" s="255"/>
      <c r="S133" s="236">
        <f t="shared" si="1"/>
        <v>-137514.25</v>
      </c>
      <c r="T133" s="237">
        <f t="shared" si="2"/>
        <v>-1</v>
      </c>
      <c r="U133" s="236">
        <f t="shared" si="3"/>
        <v>0</v>
      </c>
      <c r="V133" s="236">
        <f t="shared" si="4"/>
        <v>-193895.09249999997</v>
      </c>
      <c r="W133" s="237">
        <f t="shared" si="5"/>
        <v>-1</v>
      </c>
      <c r="X133" s="237"/>
      <c r="Y133" s="686"/>
      <c r="Z133" s="39"/>
    </row>
    <row r="134" spans="1:26" ht="14.1" customHeight="1" x14ac:dyDescent="0.25">
      <c r="A134" s="157" t="s">
        <v>773</v>
      </c>
      <c r="B134" s="724" t="s">
        <v>774</v>
      </c>
      <c r="C134" s="725" t="s">
        <v>775</v>
      </c>
      <c r="D134" s="726">
        <v>12</v>
      </c>
      <c r="E134" s="727">
        <f>22*20*2</f>
        <v>880</v>
      </c>
      <c r="F134" s="139">
        <f>D134*E134</f>
        <v>10560</v>
      </c>
      <c r="G134" s="794">
        <f t="shared" ref="G134:G156" si="8">F134*C$4</f>
        <v>14889.599999999999</v>
      </c>
      <c r="H134" s="695"/>
      <c r="I134" s="695"/>
      <c r="J134" s="695"/>
      <c r="K134" s="695"/>
      <c r="L134" s="695"/>
      <c r="M134" s="695"/>
      <c r="N134" s="695"/>
      <c r="O134" s="695"/>
      <c r="P134" s="695"/>
      <c r="Q134" s="696"/>
      <c r="R134" s="255"/>
      <c r="S134" s="222">
        <f t="shared" si="1"/>
        <v>-10560</v>
      </c>
      <c r="T134" s="228">
        <f t="shared" si="2"/>
        <v>-1</v>
      </c>
      <c r="U134" s="222">
        <f t="shared" si="3"/>
        <v>0</v>
      </c>
      <c r="V134" s="222">
        <f t="shared" si="4"/>
        <v>-14889.599999999999</v>
      </c>
      <c r="W134" s="228">
        <f t="shared" si="5"/>
        <v>-1</v>
      </c>
      <c r="X134" s="228"/>
      <c r="Y134" s="144"/>
      <c r="Z134" s="113"/>
    </row>
    <row r="135" spans="1:26" ht="14.1" customHeight="1" x14ac:dyDescent="0.25">
      <c r="A135" s="157" t="s">
        <v>776</v>
      </c>
      <c r="B135" s="724" t="s">
        <v>777</v>
      </c>
      <c r="C135" s="725" t="s">
        <v>775</v>
      </c>
      <c r="D135" s="726">
        <v>6</v>
      </c>
      <c r="E135" s="727">
        <f>15*20*2</f>
        <v>600</v>
      </c>
      <c r="F135" s="139">
        <f>D135*E135</f>
        <v>3600</v>
      </c>
      <c r="G135" s="794">
        <f t="shared" si="8"/>
        <v>5076</v>
      </c>
      <c r="H135" s="695"/>
      <c r="I135" s="695"/>
      <c r="J135" s="695"/>
      <c r="K135" s="695"/>
      <c r="L135" s="695"/>
      <c r="M135" s="695"/>
      <c r="N135" s="695"/>
      <c r="O135" s="695"/>
      <c r="P135" s="695"/>
      <c r="Q135" s="696"/>
      <c r="R135" s="255"/>
      <c r="S135" s="222">
        <f t="shared" si="1"/>
        <v>-3600</v>
      </c>
      <c r="T135" s="228">
        <f t="shared" si="2"/>
        <v>-1</v>
      </c>
      <c r="U135" s="222">
        <f t="shared" si="3"/>
        <v>0</v>
      </c>
      <c r="V135" s="222">
        <f t="shared" si="4"/>
        <v>-5076</v>
      </c>
      <c r="W135" s="228">
        <f t="shared" si="5"/>
        <v>-1</v>
      </c>
      <c r="X135" s="228"/>
      <c r="Y135" s="144"/>
      <c r="Z135" s="39"/>
    </row>
    <row r="136" spans="1:26" ht="14.1" customHeight="1" x14ac:dyDescent="0.25">
      <c r="A136" s="157" t="s">
        <v>376</v>
      </c>
      <c r="B136" s="724" t="s">
        <v>778</v>
      </c>
      <c r="C136" s="725" t="s">
        <v>775</v>
      </c>
      <c r="D136" s="726">
        <v>6</v>
      </c>
      <c r="E136" s="727">
        <f>12*20*2</f>
        <v>480</v>
      </c>
      <c r="F136" s="139">
        <f>D136*E136</f>
        <v>2880</v>
      </c>
      <c r="G136" s="794">
        <f t="shared" si="8"/>
        <v>4060.7999999999997</v>
      </c>
      <c r="H136" s="695"/>
      <c r="I136" s="695"/>
      <c r="J136" s="695"/>
      <c r="K136" s="695"/>
      <c r="L136" s="695"/>
      <c r="M136" s="695"/>
      <c r="N136" s="695"/>
      <c r="O136" s="695"/>
      <c r="P136" s="695"/>
      <c r="Q136" s="696"/>
      <c r="R136" s="255"/>
      <c r="S136" s="222">
        <f t="shared" si="1"/>
        <v>-2880</v>
      </c>
      <c r="T136" s="228">
        <f t="shared" si="2"/>
        <v>-1</v>
      </c>
      <c r="U136" s="222">
        <f t="shared" si="3"/>
        <v>0</v>
      </c>
      <c r="V136" s="222">
        <f t="shared" si="4"/>
        <v>-4060.7999999999997</v>
      </c>
      <c r="W136" s="228">
        <f t="shared" si="5"/>
        <v>-1</v>
      </c>
      <c r="X136" s="228"/>
      <c r="Y136" s="144"/>
      <c r="Z136" s="39"/>
    </row>
    <row r="137" spans="1:26" ht="14.1" customHeight="1" x14ac:dyDescent="0.25">
      <c r="A137" s="157" t="s">
        <v>374</v>
      </c>
      <c r="B137" s="724" t="s">
        <v>779</v>
      </c>
      <c r="C137" s="725" t="s">
        <v>780</v>
      </c>
      <c r="D137" s="726">
        <v>10</v>
      </c>
      <c r="E137" s="727">
        <v>3.5</v>
      </c>
      <c r="F137" s="139">
        <f>D137*E137</f>
        <v>35</v>
      </c>
      <c r="G137" s="794">
        <f t="shared" si="8"/>
        <v>49.349999999999994</v>
      </c>
      <c r="H137" s="695"/>
      <c r="I137" s="695"/>
      <c r="J137" s="695"/>
      <c r="K137" s="695"/>
      <c r="L137" s="695"/>
      <c r="M137" s="695"/>
      <c r="N137" s="695"/>
      <c r="O137" s="695"/>
      <c r="P137" s="695"/>
      <c r="Q137" s="696"/>
      <c r="R137" s="255"/>
      <c r="S137" s="222">
        <f t="shared" si="1"/>
        <v>-35</v>
      </c>
      <c r="T137" s="228">
        <f t="shared" si="2"/>
        <v>-1</v>
      </c>
      <c r="U137" s="222">
        <f t="shared" si="3"/>
        <v>0</v>
      </c>
      <c r="V137" s="222">
        <f t="shared" si="4"/>
        <v>-49.349999999999994</v>
      </c>
      <c r="W137" s="228">
        <f t="shared" si="5"/>
        <v>-1</v>
      </c>
      <c r="X137" s="228"/>
      <c r="Y137" s="144"/>
      <c r="Z137" s="39"/>
    </row>
    <row r="138" spans="1:26" ht="14.1" customHeight="1" x14ac:dyDescent="0.25">
      <c r="A138" s="157" t="s">
        <v>372</v>
      </c>
      <c r="B138" s="724" t="s">
        <v>781</v>
      </c>
      <c r="C138" s="725" t="s">
        <v>577</v>
      </c>
      <c r="D138" s="726">
        <v>1</v>
      </c>
      <c r="E138" s="727">
        <f>60*0.5*5*50</f>
        <v>7500</v>
      </c>
      <c r="F138" s="139">
        <f>D138*E138</f>
        <v>7500</v>
      </c>
      <c r="G138" s="794">
        <f t="shared" si="8"/>
        <v>10575</v>
      </c>
      <c r="H138" s="695"/>
      <c r="I138" s="695"/>
      <c r="J138" s="695"/>
      <c r="K138" s="695"/>
      <c r="L138" s="695"/>
      <c r="M138" s="695"/>
      <c r="N138" s="695"/>
      <c r="O138" s="695"/>
      <c r="P138" s="695"/>
      <c r="Q138" s="696"/>
      <c r="R138" s="255"/>
      <c r="S138" s="222">
        <f t="shared" si="1"/>
        <v>-7500</v>
      </c>
      <c r="T138" s="228">
        <f t="shared" si="2"/>
        <v>-1</v>
      </c>
      <c r="U138" s="222"/>
      <c r="V138" s="222"/>
      <c r="W138" s="228"/>
      <c r="X138" s="228"/>
      <c r="Y138" s="144"/>
      <c r="Z138" s="39"/>
    </row>
    <row r="139" spans="1:26" ht="14.1" customHeight="1" x14ac:dyDescent="0.25">
      <c r="A139" s="157" t="s">
        <v>370</v>
      </c>
      <c r="B139" s="724" t="s">
        <v>782</v>
      </c>
      <c r="C139" s="725" t="s">
        <v>399</v>
      </c>
      <c r="D139" s="726">
        <v>12</v>
      </c>
      <c r="E139" s="727">
        <v>800</v>
      </c>
      <c r="F139" s="139">
        <f t="shared" ref="F139:F156" si="9">D139*E139</f>
        <v>9600</v>
      </c>
      <c r="G139" s="794">
        <f t="shared" si="8"/>
        <v>13536</v>
      </c>
      <c r="H139" s="695"/>
      <c r="I139" s="695"/>
      <c r="J139" s="695"/>
      <c r="K139" s="695"/>
      <c r="L139" s="695"/>
      <c r="M139" s="695"/>
      <c r="N139" s="695"/>
      <c r="O139" s="695"/>
      <c r="P139" s="695"/>
      <c r="Q139" s="696"/>
      <c r="R139" s="255"/>
      <c r="S139" s="222"/>
      <c r="T139" s="228"/>
      <c r="U139" s="222"/>
      <c r="V139" s="222"/>
      <c r="W139" s="228"/>
      <c r="X139" s="228"/>
      <c r="Y139" s="686"/>
      <c r="Z139" s="39"/>
    </row>
    <row r="140" spans="1:26" ht="14.1" customHeight="1" x14ac:dyDescent="0.25">
      <c r="A140" s="157" t="s">
        <v>368</v>
      </c>
      <c r="B140" s="724" t="s">
        <v>783</v>
      </c>
      <c r="C140" s="725"/>
      <c r="D140" s="726"/>
      <c r="E140" s="727"/>
      <c r="F140" s="139"/>
      <c r="G140" s="794">
        <f t="shared" si="8"/>
        <v>0</v>
      </c>
      <c r="H140" s="695"/>
      <c r="I140" s="695"/>
      <c r="J140" s="695"/>
      <c r="K140" s="695"/>
      <c r="L140" s="695"/>
      <c r="M140" s="695"/>
      <c r="N140" s="695"/>
      <c r="O140" s="695"/>
      <c r="P140" s="695"/>
      <c r="Q140" s="696"/>
      <c r="R140" s="255"/>
      <c r="S140" s="222"/>
      <c r="T140" s="228"/>
      <c r="U140" s="222"/>
      <c r="V140" s="222"/>
      <c r="W140" s="228"/>
      <c r="X140" s="228"/>
      <c r="Y140" s="144"/>
      <c r="Z140" s="113"/>
    </row>
    <row r="141" spans="1:26" ht="14.1" customHeight="1" x14ac:dyDescent="0.25">
      <c r="A141" s="157"/>
      <c r="B141" s="720" t="s">
        <v>784</v>
      </c>
      <c r="C141" s="725" t="s">
        <v>399</v>
      </c>
      <c r="D141" s="726">
        <v>12</v>
      </c>
      <c r="E141" s="727">
        <f>2*744</f>
        <v>1488</v>
      </c>
      <c r="F141" s="139">
        <f t="shared" si="9"/>
        <v>17856</v>
      </c>
      <c r="G141" s="794">
        <f t="shared" si="8"/>
        <v>25176.959999999999</v>
      </c>
      <c r="H141" s="695"/>
      <c r="I141" s="695"/>
      <c r="J141" s="695"/>
      <c r="K141" s="695"/>
      <c r="L141" s="695"/>
      <c r="M141" s="695"/>
      <c r="N141" s="695"/>
      <c r="O141" s="695"/>
      <c r="P141" s="695"/>
      <c r="Q141" s="696"/>
      <c r="R141" s="255"/>
      <c r="S141" s="222"/>
      <c r="T141" s="228"/>
      <c r="U141" s="222"/>
      <c r="V141" s="222"/>
      <c r="W141" s="228"/>
      <c r="X141" s="228"/>
      <c r="Y141" s="144"/>
      <c r="Z141" s="113"/>
    </row>
    <row r="142" spans="1:26" ht="14.1" customHeight="1" x14ac:dyDescent="0.25">
      <c r="A142" s="157"/>
      <c r="B142" s="720" t="s">
        <v>785</v>
      </c>
      <c r="C142" s="725" t="s">
        <v>399</v>
      </c>
      <c r="D142" s="726">
        <v>12</v>
      </c>
      <c r="E142" s="727">
        <f>6*161*1.5</f>
        <v>1449</v>
      </c>
      <c r="F142" s="139">
        <f t="shared" si="9"/>
        <v>17388</v>
      </c>
      <c r="G142" s="794">
        <f t="shared" si="8"/>
        <v>24517.079999999998</v>
      </c>
      <c r="H142" s="695"/>
      <c r="I142" s="695"/>
      <c r="J142" s="695"/>
      <c r="K142" s="695"/>
      <c r="L142" s="695"/>
      <c r="M142" s="695"/>
      <c r="N142" s="695"/>
      <c r="O142" s="695"/>
      <c r="P142" s="695"/>
      <c r="Q142" s="696"/>
      <c r="R142" s="255"/>
      <c r="S142" s="222"/>
      <c r="T142" s="228"/>
      <c r="U142" s="222"/>
      <c r="V142" s="222"/>
      <c r="W142" s="228"/>
      <c r="X142" s="228"/>
      <c r="Y142" s="144"/>
      <c r="Z142" s="113"/>
    </row>
    <row r="143" spans="1:26" ht="14.1" customHeight="1" x14ac:dyDescent="0.25">
      <c r="A143" s="157"/>
      <c r="B143" s="720" t="s">
        <v>786</v>
      </c>
      <c r="C143" s="725" t="s">
        <v>399</v>
      </c>
      <c r="D143" s="726">
        <v>12</v>
      </c>
      <c r="E143" s="727">
        <f>2*161*2</f>
        <v>644</v>
      </c>
      <c r="F143" s="139">
        <f t="shared" si="9"/>
        <v>7728</v>
      </c>
      <c r="G143" s="794">
        <f t="shared" si="8"/>
        <v>10896.48</v>
      </c>
      <c r="H143" s="695"/>
      <c r="I143" s="695"/>
      <c r="J143" s="695"/>
      <c r="K143" s="695"/>
      <c r="L143" s="695"/>
      <c r="M143" s="695"/>
      <c r="N143" s="695"/>
      <c r="O143" s="695"/>
      <c r="P143" s="695"/>
      <c r="Q143" s="696"/>
      <c r="R143" s="255"/>
      <c r="S143" s="222"/>
      <c r="T143" s="228"/>
      <c r="U143" s="222"/>
      <c r="V143" s="222"/>
      <c r="W143" s="228"/>
      <c r="X143" s="228"/>
      <c r="Y143" s="144"/>
      <c r="Z143" s="113"/>
    </row>
    <row r="144" spans="1:26" ht="14.1" customHeight="1" x14ac:dyDescent="0.25">
      <c r="A144" s="157"/>
      <c r="B144" s="720" t="s">
        <v>787</v>
      </c>
      <c r="C144" s="725" t="s">
        <v>399</v>
      </c>
      <c r="D144" s="726">
        <v>12</v>
      </c>
      <c r="E144" s="727">
        <f>2.5*161</f>
        <v>402.5</v>
      </c>
      <c r="F144" s="139">
        <f t="shared" si="9"/>
        <v>4830</v>
      </c>
      <c r="G144" s="794">
        <f t="shared" si="8"/>
        <v>6810.2999999999993</v>
      </c>
      <c r="H144" s="695"/>
      <c r="I144" s="695"/>
      <c r="J144" s="695"/>
      <c r="K144" s="695"/>
      <c r="L144" s="695"/>
      <c r="M144" s="695"/>
      <c r="N144" s="695"/>
      <c r="O144" s="695"/>
      <c r="P144" s="695"/>
      <c r="Q144" s="696"/>
      <c r="R144" s="255"/>
      <c r="S144" s="222"/>
      <c r="T144" s="228"/>
      <c r="U144" s="222"/>
      <c r="V144" s="222"/>
      <c r="W144" s="228"/>
      <c r="X144" s="228"/>
      <c r="Y144" s="144"/>
      <c r="Z144" s="113"/>
    </row>
    <row r="145" spans="1:26" ht="14.1" customHeight="1" x14ac:dyDescent="0.25">
      <c r="A145" s="157"/>
      <c r="B145" s="720" t="s">
        <v>788</v>
      </c>
      <c r="C145" s="725" t="s">
        <v>399</v>
      </c>
      <c r="D145" s="726">
        <v>12</v>
      </c>
      <c r="E145" s="727">
        <f>161*1</f>
        <v>161</v>
      </c>
      <c r="F145" s="139">
        <f t="shared" si="9"/>
        <v>1932</v>
      </c>
      <c r="G145" s="794">
        <f t="shared" si="8"/>
        <v>2724.12</v>
      </c>
      <c r="H145" s="695"/>
      <c r="I145" s="695"/>
      <c r="J145" s="695"/>
      <c r="K145" s="695"/>
      <c r="L145" s="695"/>
      <c r="M145" s="695"/>
      <c r="N145" s="695"/>
      <c r="O145" s="695"/>
      <c r="P145" s="695"/>
      <c r="Q145" s="696"/>
      <c r="R145" s="255"/>
      <c r="S145" s="222"/>
      <c r="T145" s="228"/>
      <c r="U145" s="222"/>
      <c r="V145" s="222"/>
      <c r="W145" s="228"/>
      <c r="X145" s="228"/>
      <c r="Y145" s="144"/>
      <c r="Z145" s="113"/>
    </row>
    <row r="146" spans="1:26" ht="14.1" customHeight="1" x14ac:dyDescent="0.25">
      <c r="A146" s="157" t="s">
        <v>789</v>
      </c>
      <c r="B146" s="720" t="s">
        <v>790</v>
      </c>
      <c r="C146" s="725" t="s">
        <v>791</v>
      </c>
      <c r="D146" s="726">
        <v>4</v>
      </c>
      <c r="E146" s="727">
        <f>(12*3.5)+(200*2)</f>
        <v>442</v>
      </c>
      <c r="F146" s="139">
        <f t="shared" si="9"/>
        <v>1768</v>
      </c>
      <c r="G146" s="794">
        <f t="shared" si="8"/>
        <v>2492.8799999999997</v>
      </c>
      <c r="H146" s="695"/>
      <c r="I146" s="695"/>
      <c r="J146" s="695"/>
      <c r="K146" s="695"/>
      <c r="L146" s="695"/>
      <c r="M146" s="695"/>
      <c r="N146" s="695"/>
      <c r="O146" s="695"/>
      <c r="P146" s="695"/>
      <c r="Q146" s="696"/>
      <c r="R146" s="255"/>
      <c r="S146" s="222"/>
      <c r="T146" s="228"/>
      <c r="U146" s="222"/>
      <c r="V146" s="222"/>
      <c r="W146" s="228"/>
      <c r="X146" s="228"/>
      <c r="Y146" s="144"/>
      <c r="Z146" s="39"/>
    </row>
    <row r="147" spans="1:26" ht="14.1" customHeight="1" x14ac:dyDescent="0.25">
      <c r="A147" s="157" t="s">
        <v>792</v>
      </c>
      <c r="B147" s="724" t="s">
        <v>793</v>
      </c>
      <c r="C147" s="725" t="s">
        <v>775</v>
      </c>
      <c r="D147" s="728">
        <v>12</v>
      </c>
      <c r="E147" s="727">
        <f>22*20*2</f>
        <v>880</v>
      </c>
      <c r="F147" s="139">
        <f>D147*E147</f>
        <v>10560</v>
      </c>
      <c r="G147" s="794">
        <f t="shared" si="8"/>
        <v>14889.599999999999</v>
      </c>
      <c r="H147" s="695"/>
      <c r="I147" s="695"/>
      <c r="J147" s="695"/>
      <c r="K147" s="695"/>
      <c r="L147" s="695"/>
      <c r="M147" s="695"/>
      <c r="N147" s="695"/>
      <c r="O147" s="695"/>
      <c r="P147" s="695"/>
      <c r="Q147" s="696"/>
      <c r="R147" s="255"/>
      <c r="S147" s="222">
        <f>R147-F147</f>
        <v>-10560</v>
      </c>
      <c r="T147" s="228">
        <f>IF(F147=0,0,S147/F147)</f>
        <v>-1</v>
      </c>
      <c r="U147" s="222">
        <f>R147*$C$4</f>
        <v>0</v>
      </c>
      <c r="V147" s="222">
        <f>U147-G147</f>
        <v>-14889.599999999999</v>
      </c>
      <c r="W147" s="228">
        <f>IF(G147=0,0,V147/G147)</f>
        <v>-1</v>
      </c>
      <c r="X147" s="228"/>
      <c r="Y147" s="144"/>
      <c r="Z147" s="39"/>
    </row>
    <row r="148" spans="1:26" ht="14.1" customHeight="1" x14ac:dyDescent="0.25">
      <c r="A148" s="157" t="s">
        <v>794</v>
      </c>
      <c r="B148" s="724" t="s">
        <v>795</v>
      </c>
      <c r="C148" s="725" t="s">
        <v>775</v>
      </c>
      <c r="D148" s="728">
        <v>6</v>
      </c>
      <c r="E148" s="727">
        <f>12*20*2</f>
        <v>480</v>
      </c>
      <c r="F148" s="139">
        <f>D148*E148</f>
        <v>2880</v>
      </c>
      <c r="G148" s="794">
        <f t="shared" si="8"/>
        <v>4060.7999999999997</v>
      </c>
      <c r="H148" s="695"/>
      <c r="I148" s="695"/>
      <c r="J148" s="695"/>
      <c r="K148" s="695"/>
      <c r="L148" s="695"/>
      <c r="M148" s="695"/>
      <c r="N148" s="695"/>
      <c r="O148" s="695"/>
      <c r="P148" s="695"/>
      <c r="Q148" s="696"/>
      <c r="R148" s="255"/>
      <c r="S148" s="222">
        <f>R148-F148</f>
        <v>-2880</v>
      </c>
      <c r="T148" s="228">
        <f>IF(F148=0,0,S148/F148)</f>
        <v>-1</v>
      </c>
      <c r="U148" s="222">
        <f>R148*$C$4</f>
        <v>0</v>
      </c>
      <c r="V148" s="222">
        <f>U148-G148</f>
        <v>-4060.7999999999997</v>
      </c>
      <c r="W148" s="228">
        <f>IF(G148=0,0,V148/G148)</f>
        <v>-1</v>
      </c>
      <c r="X148" s="228"/>
      <c r="Y148" s="144"/>
      <c r="Z148" s="39"/>
    </row>
    <row r="149" spans="1:26" ht="14.1" customHeight="1" x14ac:dyDescent="0.25">
      <c r="A149" s="157" t="s">
        <v>796</v>
      </c>
      <c r="B149" s="720" t="s">
        <v>797</v>
      </c>
      <c r="C149" s="725" t="s">
        <v>538</v>
      </c>
      <c r="D149" s="728">
        <v>16</v>
      </c>
      <c r="E149" s="727">
        <f>1.5*20</f>
        <v>30</v>
      </c>
      <c r="F149" s="139">
        <f t="shared" si="9"/>
        <v>480</v>
      </c>
      <c r="G149" s="794">
        <f t="shared" si="8"/>
        <v>676.8</v>
      </c>
      <c r="H149" s="695"/>
      <c r="I149" s="695"/>
      <c r="J149" s="695"/>
      <c r="K149" s="695"/>
      <c r="L149" s="695"/>
      <c r="M149" s="695"/>
      <c r="N149" s="695"/>
      <c r="O149" s="695"/>
      <c r="P149" s="695"/>
      <c r="Q149" s="696"/>
      <c r="R149" s="255"/>
      <c r="S149" s="222"/>
      <c r="T149" s="228"/>
      <c r="U149" s="222"/>
      <c r="V149" s="222"/>
      <c r="W149" s="228"/>
      <c r="X149" s="228"/>
      <c r="Y149" s="144"/>
      <c r="Z149" s="39"/>
    </row>
    <row r="150" spans="1:26" ht="14.1" customHeight="1" x14ac:dyDescent="0.25">
      <c r="A150" s="157" t="s">
        <v>798</v>
      </c>
      <c r="B150" s="720" t="s">
        <v>799</v>
      </c>
      <c r="C150" s="729" t="s">
        <v>800</v>
      </c>
      <c r="D150" s="728">
        <v>4</v>
      </c>
      <c r="E150" s="727">
        <f>1.5*20</f>
        <v>30</v>
      </c>
      <c r="F150" s="139">
        <f t="shared" si="9"/>
        <v>120</v>
      </c>
      <c r="G150" s="794">
        <f t="shared" si="8"/>
        <v>169.2</v>
      </c>
      <c r="H150" s="695"/>
      <c r="I150" s="695"/>
      <c r="J150" s="695"/>
      <c r="K150" s="695"/>
      <c r="L150" s="695"/>
      <c r="M150" s="695"/>
      <c r="N150" s="695"/>
      <c r="O150" s="695"/>
      <c r="P150" s="695"/>
      <c r="Q150" s="696"/>
      <c r="R150" s="255"/>
      <c r="S150" s="222"/>
      <c r="T150" s="228"/>
      <c r="U150" s="222"/>
      <c r="V150" s="222"/>
      <c r="W150" s="228"/>
      <c r="X150" s="228"/>
      <c r="Y150" s="144"/>
      <c r="Z150" s="39"/>
    </row>
    <row r="151" spans="1:26" ht="14.1" customHeight="1" x14ac:dyDescent="0.25">
      <c r="A151" s="157" t="s">
        <v>801</v>
      </c>
      <c r="B151" s="720" t="s">
        <v>802</v>
      </c>
      <c r="C151" s="729" t="s">
        <v>803</v>
      </c>
      <c r="D151" s="728">
        <v>3</v>
      </c>
      <c r="E151" s="727">
        <v>250</v>
      </c>
      <c r="F151" s="139">
        <f t="shared" si="9"/>
        <v>750</v>
      </c>
      <c r="G151" s="794">
        <f t="shared" si="8"/>
        <v>1057.5</v>
      </c>
      <c r="H151" s="695"/>
      <c r="I151" s="695"/>
      <c r="J151" s="695"/>
      <c r="K151" s="695"/>
      <c r="L151" s="695"/>
      <c r="M151" s="695"/>
      <c r="N151" s="695"/>
      <c r="O151" s="695"/>
      <c r="P151" s="695"/>
      <c r="Q151" s="696"/>
      <c r="R151" s="255"/>
      <c r="S151" s="222"/>
      <c r="T151" s="228"/>
      <c r="U151" s="222"/>
      <c r="V151" s="222"/>
      <c r="W151" s="228"/>
      <c r="X151" s="228"/>
      <c r="Y151" s="144"/>
      <c r="Z151" s="39"/>
    </row>
    <row r="152" spans="1:26" ht="14.1" customHeight="1" x14ac:dyDescent="0.25">
      <c r="A152" s="157" t="s">
        <v>804</v>
      </c>
      <c r="B152" s="724" t="s">
        <v>805</v>
      </c>
      <c r="C152" s="725" t="s">
        <v>577</v>
      </c>
      <c r="D152" s="728">
        <v>1</v>
      </c>
      <c r="E152" s="727">
        <f>60*0.5*5*50</f>
        <v>7500</v>
      </c>
      <c r="F152" s="139">
        <f>D152*E152</f>
        <v>7500</v>
      </c>
      <c r="G152" s="794">
        <f t="shared" si="8"/>
        <v>10575</v>
      </c>
      <c r="H152" s="695"/>
      <c r="I152" s="695"/>
      <c r="J152" s="695"/>
      <c r="K152" s="695"/>
      <c r="L152" s="695"/>
      <c r="M152" s="695"/>
      <c r="N152" s="695"/>
      <c r="O152" s="695"/>
      <c r="P152" s="695"/>
      <c r="Q152" s="696"/>
      <c r="R152" s="255"/>
      <c r="S152" s="222">
        <f>R152-F152</f>
        <v>-7500</v>
      </c>
      <c r="T152" s="228">
        <f>IF(F152=0,0,S152/F152)</f>
        <v>-1</v>
      </c>
      <c r="U152" s="222"/>
      <c r="V152" s="222"/>
      <c r="W152" s="228"/>
      <c r="X152" s="228"/>
      <c r="Y152" s="144"/>
      <c r="Z152" s="39"/>
    </row>
    <row r="153" spans="1:26" ht="14.1" customHeight="1" x14ac:dyDescent="0.25">
      <c r="A153" s="157" t="s">
        <v>806</v>
      </c>
      <c r="B153" s="720" t="s">
        <v>790</v>
      </c>
      <c r="C153" s="729" t="s">
        <v>791</v>
      </c>
      <c r="D153" s="728">
        <v>3.5</v>
      </c>
      <c r="E153" s="727">
        <f>(13*3.5)+(200*2)</f>
        <v>445.5</v>
      </c>
      <c r="F153" s="139">
        <f>D153*E153</f>
        <v>1559.25</v>
      </c>
      <c r="G153" s="794">
        <f t="shared" si="8"/>
        <v>2198.5425</v>
      </c>
      <c r="H153" s="695"/>
      <c r="I153" s="695"/>
      <c r="J153" s="695"/>
      <c r="K153" s="695"/>
      <c r="L153" s="695"/>
      <c r="M153" s="695"/>
      <c r="N153" s="695"/>
      <c r="O153" s="695"/>
      <c r="P153" s="695"/>
      <c r="Q153" s="696"/>
      <c r="R153" s="255"/>
      <c r="S153" s="222"/>
      <c r="T153" s="228"/>
      <c r="U153" s="222"/>
      <c r="V153" s="222"/>
      <c r="W153" s="228"/>
      <c r="X153" s="228"/>
      <c r="Y153" s="144"/>
      <c r="Z153" s="39"/>
    </row>
    <row r="154" spans="1:26" ht="14.1" customHeight="1" x14ac:dyDescent="0.25">
      <c r="A154" s="157" t="s">
        <v>807</v>
      </c>
      <c r="B154" s="720" t="s">
        <v>808</v>
      </c>
      <c r="C154" s="729" t="s">
        <v>809</v>
      </c>
      <c r="D154" s="728">
        <v>1</v>
      </c>
      <c r="E154" s="727">
        <v>1000</v>
      </c>
      <c r="F154" s="139">
        <f t="shared" si="9"/>
        <v>1000</v>
      </c>
      <c r="G154" s="794">
        <f t="shared" si="8"/>
        <v>1410</v>
      </c>
      <c r="H154" s="695"/>
      <c r="I154" s="695"/>
      <c r="J154" s="695"/>
      <c r="K154" s="695"/>
      <c r="L154" s="695"/>
      <c r="M154" s="695"/>
      <c r="N154" s="695"/>
      <c r="O154" s="695"/>
      <c r="P154" s="695"/>
      <c r="Q154" s="696"/>
      <c r="R154" s="255"/>
      <c r="S154" s="222"/>
      <c r="T154" s="228"/>
      <c r="U154" s="222"/>
      <c r="V154" s="222"/>
      <c r="W154" s="228"/>
      <c r="X154" s="228"/>
      <c r="Y154" s="144"/>
      <c r="Z154" s="39"/>
    </row>
    <row r="155" spans="1:26" ht="14.1" customHeight="1" x14ac:dyDescent="0.25">
      <c r="A155" s="157" t="s">
        <v>810</v>
      </c>
      <c r="B155" s="724" t="s">
        <v>811</v>
      </c>
      <c r="C155" s="725" t="s">
        <v>432</v>
      </c>
      <c r="D155" s="728">
        <v>12</v>
      </c>
      <c r="E155" s="727">
        <f>(251*3)+(11*12*3)</f>
        <v>1149</v>
      </c>
      <c r="F155" s="139">
        <f>D155*E155</f>
        <v>13788</v>
      </c>
      <c r="G155" s="794">
        <f t="shared" si="8"/>
        <v>19441.079999999998</v>
      </c>
      <c r="H155" s="695"/>
      <c r="I155" s="695"/>
      <c r="J155" s="695"/>
      <c r="K155" s="695"/>
      <c r="L155" s="695"/>
      <c r="M155" s="695"/>
      <c r="N155" s="695"/>
      <c r="O155" s="695"/>
      <c r="P155" s="695"/>
      <c r="Q155" s="696"/>
      <c r="R155" s="255"/>
      <c r="S155" s="222"/>
      <c r="T155" s="228"/>
      <c r="U155" s="222"/>
      <c r="V155" s="222"/>
      <c r="W155" s="228"/>
      <c r="X155" s="228"/>
      <c r="Y155" s="730"/>
      <c r="Z155" s="39"/>
    </row>
    <row r="156" spans="1:26" ht="14.1" customHeight="1" x14ac:dyDescent="0.25">
      <c r="A156" s="157" t="s">
        <v>812</v>
      </c>
      <c r="B156" s="724" t="s">
        <v>813</v>
      </c>
      <c r="C156" s="725" t="s">
        <v>432</v>
      </c>
      <c r="D156" s="728">
        <v>12</v>
      </c>
      <c r="E156" s="727">
        <f>500+600</f>
        <v>1100</v>
      </c>
      <c r="F156" s="795">
        <f t="shared" si="9"/>
        <v>13200</v>
      </c>
      <c r="G156" s="794">
        <f t="shared" si="8"/>
        <v>18612</v>
      </c>
      <c r="H156" s="239"/>
      <c r="I156" s="239"/>
      <c r="J156" s="239"/>
      <c r="K156" s="239"/>
      <c r="L156" s="239"/>
      <c r="M156" s="239"/>
      <c r="N156" s="239"/>
      <c r="O156" s="239"/>
      <c r="P156" s="239"/>
      <c r="Q156" s="250"/>
      <c r="R156" s="261"/>
      <c r="S156" s="222"/>
      <c r="T156" s="228"/>
      <c r="U156" s="222"/>
      <c r="V156" s="222"/>
      <c r="W156" s="228"/>
      <c r="X156" s="228"/>
      <c r="Y156" s="153"/>
      <c r="Z156" s="35"/>
    </row>
    <row r="157" spans="1:26" ht="14.1" customHeight="1" x14ac:dyDescent="0.25">
      <c r="A157" s="217" t="s">
        <v>105</v>
      </c>
      <c r="B157" s="218" t="s">
        <v>58</v>
      </c>
      <c r="C157" s="567"/>
      <c r="D157" s="568"/>
      <c r="E157" s="569"/>
      <c r="F157" s="801">
        <f>SUM(F158:F163)</f>
        <v>60538</v>
      </c>
      <c r="G157" s="802">
        <f>SUM(G158:G163)</f>
        <v>85358.58</v>
      </c>
      <c r="H157" s="239"/>
      <c r="I157" s="239"/>
      <c r="J157" s="239"/>
      <c r="K157" s="239"/>
      <c r="L157" s="239"/>
      <c r="M157" s="239"/>
      <c r="N157" s="239"/>
      <c r="O157" s="239"/>
      <c r="P157" s="239"/>
      <c r="Q157" s="250"/>
      <c r="R157" s="261"/>
      <c r="S157" s="236">
        <f t="shared" si="1"/>
        <v>-60538</v>
      </c>
      <c r="T157" s="237">
        <f t="shared" si="2"/>
        <v>-1</v>
      </c>
      <c r="U157" s="236">
        <f t="shared" si="3"/>
        <v>0</v>
      </c>
      <c r="V157" s="236">
        <f t="shared" si="4"/>
        <v>-85358.58</v>
      </c>
      <c r="W157" s="237">
        <f t="shared" si="5"/>
        <v>-1</v>
      </c>
      <c r="X157" s="237"/>
      <c r="Y157" s="141"/>
      <c r="Z157" s="35"/>
    </row>
    <row r="158" spans="1:26" ht="14.1" customHeight="1" x14ac:dyDescent="0.25">
      <c r="A158" s="152" t="s">
        <v>814</v>
      </c>
      <c r="B158" s="724" t="s">
        <v>815</v>
      </c>
      <c r="C158" s="731" t="s">
        <v>816</v>
      </c>
      <c r="D158" s="732">
        <v>25</v>
      </c>
      <c r="E158" s="733">
        <v>150</v>
      </c>
      <c r="F158" s="139">
        <f t="shared" ref="F158:F163" si="10">D158*E158</f>
        <v>3750</v>
      </c>
      <c r="G158" s="794">
        <f t="shared" ref="G158:G163" si="11">F158*C$4</f>
        <v>5287.5</v>
      </c>
      <c r="H158" s="239"/>
      <c r="I158" s="239"/>
      <c r="J158" s="239"/>
      <c r="K158" s="239"/>
      <c r="L158" s="239"/>
      <c r="M158" s="239"/>
      <c r="N158" s="239"/>
      <c r="O158" s="239"/>
      <c r="P158" s="239"/>
      <c r="Q158" s="250"/>
      <c r="R158" s="261"/>
      <c r="S158" s="222">
        <f t="shared" si="1"/>
        <v>-3750</v>
      </c>
      <c r="T158" s="228">
        <f t="shared" si="2"/>
        <v>-1</v>
      </c>
      <c r="U158" s="222">
        <f t="shared" si="3"/>
        <v>0</v>
      </c>
      <c r="V158" s="222">
        <f t="shared" si="4"/>
        <v>-5287.5</v>
      </c>
      <c r="W158" s="228">
        <f t="shared" si="5"/>
        <v>-1</v>
      </c>
      <c r="X158" s="228"/>
      <c r="Y158" s="141"/>
      <c r="Z158" s="35"/>
    </row>
    <row r="159" spans="1:26" ht="14.1" customHeight="1" x14ac:dyDescent="0.25">
      <c r="A159" s="152" t="s">
        <v>704</v>
      </c>
      <c r="B159" s="724" t="s">
        <v>817</v>
      </c>
      <c r="C159" s="731" t="s">
        <v>818</v>
      </c>
      <c r="D159" s="732">
        <v>25</v>
      </c>
      <c r="E159" s="733">
        <v>200</v>
      </c>
      <c r="F159" s="139">
        <f t="shared" si="10"/>
        <v>5000</v>
      </c>
      <c r="G159" s="794">
        <f t="shared" si="11"/>
        <v>7050</v>
      </c>
      <c r="H159" s="239"/>
      <c r="I159" s="239"/>
      <c r="J159" s="239"/>
      <c r="K159" s="239"/>
      <c r="L159" s="239"/>
      <c r="M159" s="239"/>
      <c r="N159" s="239"/>
      <c r="O159" s="239"/>
      <c r="P159" s="239"/>
      <c r="Q159" s="250"/>
      <c r="R159" s="261"/>
      <c r="S159" s="222">
        <f t="shared" si="1"/>
        <v>-5000</v>
      </c>
      <c r="T159" s="228">
        <f t="shared" si="2"/>
        <v>-1</v>
      </c>
      <c r="U159" s="222">
        <f t="shared" si="3"/>
        <v>0</v>
      </c>
      <c r="V159" s="222">
        <f t="shared" si="4"/>
        <v>-7050</v>
      </c>
      <c r="W159" s="228">
        <f t="shared" si="5"/>
        <v>-1</v>
      </c>
      <c r="X159" s="228"/>
      <c r="Y159" s="141"/>
      <c r="Z159" s="35"/>
    </row>
    <row r="160" spans="1:26" ht="14.1" customHeight="1" x14ac:dyDescent="0.25">
      <c r="A160" s="152" t="s">
        <v>819</v>
      </c>
      <c r="B160" s="724" t="s">
        <v>820</v>
      </c>
      <c r="C160" s="731" t="s">
        <v>818</v>
      </c>
      <c r="D160" s="732">
        <v>50</v>
      </c>
      <c r="E160" s="733">
        <v>200</v>
      </c>
      <c r="F160" s="139">
        <f t="shared" si="10"/>
        <v>10000</v>
      </c>
      <c r="G160" s="794">
        <f t="shared" si="11"/>
        <v>14100</v>
      </c>
      <c r="H160" s="239"/>
      <c r="I160" s="239"/>
      <c r="J160" s="239"/>
      <c r="K160" s="239"/>
      <c r="L160" s="239"/>
      <c r="M160" s="239"/>
      <c r="N160" s="239"/>
      <c r="O160" s="239"/>
      <c r="P160" s="239"/>
      <c r="Q160" s="250"/>
      <c r="R160" s="261"/>
      <c r="S160" s="222"/>
      <c r="T160" s="228"/>
      <c r="U160" s="222"/>
      <c r="V160" s="222"/>
      <c r="W160" s="228"/>
      <c r="X160" s="228"/>
      <c r="Y160" s="141"/>
      <c r="Z160" s="35"/>
    </row>
    <row r="161" spans="1:26" ht="14.1" customHeight="1" x14ac:dyDescent="0.25">
      <c r="A161" s="152" t="s">
        <v>362</v>
      </c>
      <c r="B161" s="724" t="s">
        <v>821</v>
      </c>
      <c r="C161" s="731" t="s">
        <v>780</v>
      </c>
      <c r="D161" s="732">
        <v>25</v>
      </c>
      <c r="E161" s="733">
        <v>1000</v>
      </c>
      <c r="F161" s="139">
        <f t="shared" si="10"/>
        <v>25000</v>
      </c>
      <c r="G161" s="794">
        <f t="shared" si="11"/>
        <v>35250</v>
      </c>
      <c r="H161" s="239"/>
      <c r="I161" s="239"/>
      <c r="J161" s="239"/>
      <c r="K161" s="239"/>
      <c r="L161" s="239"/>
      <c r="M161" s="239"/>
      <c r="N161" s="239"/>
      <c r="O161" s="239"/>
      <c r="P161" s="239"/>
      <c r="Q161" s="250"/>
      <c r="R161" s="261"/>
      <c r="S161" s="222"/>
      <c r="T161" s="228"/>
      <c r="U161" s="222"/>
      <c r="V161" s="222"/>
      <c r="W161" s="228"/>
      <c r="X161" s="228"/>
      <c r="Y161" s="141"/>
      <c r="Z161" s="35"/>
    </row>
    <row r="162" spans="1:26" ht="14.1" customHeight="1" x14ac:dyDescent="0.25">
      <c r="A162" s="152" t="s">
        <v>352</v>
      </c>
      <c r="B162" s="724" t="s">
        <v>822</v>
      </c>
      <c r="C162" s="731" t="s">
        <v>823</v>
      </c>
      <c r="D162" s="732">
        <v>1</v>
      </c>
      <c r="E162" s="733">
        <v>3000</v>
      </c>
      <c r="F162" s="139">
        <f t="shared" si="10"/>
        <v>3000</v>
      </c>
      <c r="G162" s="794">
        <f t="shared" si="11"/>
        <v>4230</v>
      </c>
      <c r="H162" s="239"/>
      <c r="I162" s="239"/>
      <c r="J162" s="239"/>
      <c r="K162" s="239"/>
      <c r="L162" s="239"/>
      <c r="M162" s="239"/>
      <c r="N162" s="239"/>
      <c r="O162" s="239"/>
      <c r="P162" s="239"/>
      <c r="Q162" s="250"/>
      <c r="R162" s="261"/>
      <c r="S162" s="222"/>
      <c r="T162" s="228"/>
      <c r="U162" s="222"/>
      <c r="V162" s="222"/>
      <c r="W162" s="228"/>
      <c r="X162" s="228"/>
      <c r="Y162" s="141"/>
      <c r="Z162" s="35"/>
    </row>
    <row r="163" spans="1:26" ht="14.1" customHeight="1" x14ac:dyDescent="0.25">
      <c r="A163" s="152" t="s">
        <v>350</v>
      </c>
      <c r="B163" s="724" t="s">
        <v>824</v>
      </c>
      <c r="C163" s="731" t="s">
        <v>399</v>
      </c>
      <c r="D163" s="732">
        <v>12</v>
      </c>
      <c r="E163" s="733">
        <f>(3*11*12)+(251*3)</f>
        <v>1149</v>
      </c>
      <c r="F163" s="139">
        <f t="shared" si="10"/>
        <v>13788</v>
      </c>
      <c r="G163" s="794">
        <f t="shared" si="11"/>
        <v>19441.079999999998</v>
      </c>
      <c r="H163" s="239"/>
      <c r="I163" s="239"/>
      <c r="J163" s="239"/>
      <c r="K163" s="239"/>
      <c r="L163" s="239"/>
      <c r="M163" s="239"/>
      <c r="N163" s="239"/>
      <c r="O163" s="239"/>
      <c r="P163" s="239"/>
      <c r="Q163" s="250"/>
      <c r="R163" s="261"/>
      <c r="S163" s="222"/>
      <c r="T163" s="228"/>
      <c r="U163" s="222"/>
      <c r="V163" s="222"/>
      <c r="W163" s="228"/>
      <c r="X163" s="228"/>
      <c r="Y163" s="141"/>
      <c r="Z163" s="35"/>
    </row>
    <row r="164" spans="1:26" ht="14.1" customHeight="1" x14ac:dyDescent="0.25">
      <c r="A164" s="217" t="s">
        <v>106</v>
      </c>
      <c r="B164" s="218" t="s">
        <v>57</v>
      </c>
      <c r="C164" s="567"/>
      <c r="D164" s="568"/>
      <c r="E164" s="569"/>
      <c r="F164" s="801">
        <f>SUM(F165:F169)</f>
        <v>8800</v>
      </c>
      <c r="G164" s="802">
        <f>SUM(G165:G169)</f>
        <v>12408</v>
      </c>
      <c r="H164" s="239"/>
      <c r="I164" s="239"/>
      <c r="J164" s="239"/>
      <c r="K164" s="239"/>
      <c r="L164" s="239"/>
      <c r="M164" s="239"/>
      <c r="N164" s="239"/>
      <c r="O164" s="239"/>
      <c r="P164" s="239"/>
      <c r="Q164" s="250"/>
      <c r="R164" s="261"/>
      <c r="S164" s="236">
        <f t="shared" si="1"/>
        <v>-8800</v>
      </c>
      <c r="T164" s="237">
        <f t="shared" si="2"/>
        <v>-1</v>
      </c>
      <c r="U164" s="236">
        <f t="shared" si="3"/>
        <v>0</v>
      </c>
      <c r="V164" s="236">
        <f t="shared" si="4"/>
        <v>-12408</v>
      </c>
      <c r="W164" s="237">
        <f t="shared" si="5"/>
        <v>-1</v>
      </c>
      <c r="X164" s="237"/>
      <c r="Y164" s="141"/>
      <c r="Z164" s="35"/>
    </row>
    <row r="165" spans="1:26" ht="14.1" customHeight="1" x14ac:dyDescent="0.25">
      <c r="A165" s="152" t="s">
        <v>230</v>
      </c>
      <c r="B165" s="724" t="s">
        <v>825</v>
      </c>
      <c r="C165" s="731" t="s">
        <v>826</v>
      </c>
      <c r="D165" s="732">
        <v>22</v>
      </c>
      <c r="E165" s="733">
        <v>400</v>
      </c>
      <c r="F165" s="803">
        <f>D165*E165</f>
        <v>8800</v>
      </c>
      <c r="G165" s="804">
        <f>F165*C$4</f>
        <v>12408</v>
      </c>
      <c r="H165" s="239"/>
      <c r="I165" s="239"/>
      <c r="J165" s="239"/>
      <c r="K165" s="239"/>
      <c r="L165" s="239"/>
      <c r="M165" s="239"/>
      <c r="N165" s="239"/>
      <c r="O165" s="239"/>
      <c r="P165" s="239"/>
      <c r="Q165" s="250"/>
      <c r="R165" s="261"/>
      <c r="S165" s="222">
        <f t="shared" si="1"/>
        <v>-8800</v>
      </c>
      <c r="T165" s="228">
        <f t="shared" si="2"/>
        <v>-1</v>
      </c>
      <c r="U165" s="222">
        <f t="shared" si="3"/>
        <v>0</v>
      </c>
      <c r="V165" s="222">
        <f t="shared" si="4"/>
        <v>-12408</v>
      </c>
      <c r="W165" s="228">
        <f t="shared" si="5"/>
        <v>-1</v>
      </c>
      <c r="X165" s="228"/>
      <c r="Y165" s="141"/>
      <c r="Z165" s="35"/>
    </row>
    <row r="166" spans="1:26" ht="14.1" hidden="1" customHeight="1" x14ac:dyDescent="0.25">
      <c r="A166" s="152" t="s">
        <v>231</v>
      </c>
      <c r="B166" s="110" t="s">
        <v>283</v>
      </c>
      <c r="C166" s="575"/>
      <c r="D166" s="576"/>
      <c r="E166" s="577"/>
      <c r="F166" s="795">
        <f>D166*E166</f>
        <v>0</v>
      </c>
      <c r="G166" s="76">
        <f>F166*C4</f>
        <v>0</v>
      </c>
      <c r="H166" s="239"/>
      <c r="I166" s="239"/>
      <c r="J166" s="239"/>
      <c r="K166" s="239"/>
      <c r="L166" s="239"/>
      <c r="M166" s="239"/>
      <c r="N166" s="239"/>
      <c r="O166" s="239"/>
      <c r="P166" s="239"/>
      <c r="Q166" s="250"/>
      <c r="R166" s="261"/>
      <c r="S166" s="222">
        <f t="shared" si="1"/>
        <v>0</v>
      </c>
      <c r="T166" s="228">
        <f t="shared" si="2"/>
        <v>0</v>
      </c>
      <c r="U166" s="222">
        <f t="shared" si="3"/>
        <v>0</v>
      </c>
      <c r="V166" s="222">
        <f t="shared" si="4"/>
        <v>0</v>
      </c>
      <c r="W166" s="228">
        <f t="shared" si="5"/>
        <v>0</v>
      </c>
      <c r="X166" s="228"/>
      <c r="Y166" s="141"/>
      <c r="Z166" s="35"/>
    </row>
    <row r="167" spans="1:26" ht="14.1" hidden="1" customHeight="1" x14ac:dyDescent="0.25">
      <c r="A167" s="152" t="s">
        <v>232</v>
      </c>
      <c r="B167" s="110" t="s">
        <v>284</v>
      </c>
      <c r="C167" s="575"/>
      <c r="D167" s="576"/>
      <c r="E167" s="577"/>
      <c r="F167" s="795">
        <f>D167*E167</f>
        <v>0</v>
      </c>
      <c r="G167" s="76">
        <f>F167*C4</f>
        <v>0</v>
      </c>
      <c r="H167" s="239"/>
      <c r="I167" s="239"/>
      <c r="J167" s="239"/>
      <c r="K167" s="239"/>
      <c r="L167" s="239"/>
      <c r="M167" s="239"/>
      <c r="N167" s="239"/>
      <c r="O167" s="239"/>
      <c r="P167" s="239"/>
      <c r="Q167" s="250"/>
      <c r="R167" s="261"/>
      <c r="S167" s="222">
        <f t="shared" si="1"/>
        <v>0</v>
      </c>
      <c r="T167" s="228">
        <f t="shared" si="2"/>
        <v>0</v>
      </c>
      <c r="U167" s="222">
        <f t="shared" si="3"/>
        <v>0</v>
      </c>
      <c r="V167" s="222">
        <f t="shared" si="4"/>
        <v>0</v>
      </c>
      <c r="W167" s="228">
        <f t="shared" si="5"/>
        <v>0</v>
      </c>
      <c r="X167" s="228"/>
      <c r="Y167" s="141"/>
      <c r="Z167" s="35"/>
    </row>
    <row r="168" spans="1:26" ht="14.1" hidden="1" customHeight="1" x14ac:dyDescent="0.25">
      <c r="A168" s="152" t="s">
        <v>233</v>
      </c>
      <c r="B168" s="110" t="s">
        <v>285</v>
      </c>
      <c r="C168" s="575"/>
      <c r="D168" s="576"/>
      <c r="E168" s="577"/>
      <c r="F168" s="795">
        <f>D168*E168</f>
        <v>0</v>
      </c>
      <c r="G168" s="76">
        <f>F168*C4</f>
        <v>0</v>
      </c>
      <c r="H168" s="239"/>
      <c r="I168" s="239"/>
      <c r="J168" s="239"/>
      <c r="K168" s="239"/>
      <c r="L168" s="239"/>
      <c r="M168" s="239"/>
      <c r="N168" s="239"/>
      <c r="O168" s="239"/>
      <c r="P168" s="239"/>
      <c r="Q168" s="250"/>
      <c r="R168" s="261"/>
      <c r="S168" s="222">
        <f t="shared" si="1"/>
        <v>0</v>
      </c>
      <c r="T168" s="228">
        <f t="shared" si="2"/>
        <v>0</v>
      </c>
      <c r="U168" s="222">
        <f t="shared" si="3"/>
        <v>0</v>
      </c>
      <c r="V168" s="222">
        <f t="shared" si="4"/>
        <v>0</v>
      </c>
      <c r="W168" s="228">
        <f t="shared" si="5"/>
        <v>0</v>
      </c>
      <c r="X168" s="228"/>
      <c r="Y168" s="141"/>
      <c r="Z168" s="35"/>
    </row>
    <row r="169" spans="1:26" ht="14.1" hidden="1" customHeight="1" x14ac:dyDescent="0.25">
      <c r="A169" s="152" t="s">
        <v>234</v>
      </c>
      <c r="B169" s="110" t="s">
        <v>286</v>
      </c>
      <c r="C169" s="575"/>
      <c r="D169" s="576"/>
      <c r="E169" s="577"/>
      <c r="F169" s="795">
        <f>D169*E169</f>
        <v>0</v>
      </c>
      <c r="G169" s="76">
        <f>F169*C4</f>
        <v>0</v>
      </c>
      <c r="H169" s="239"/>
      <c r="I169" s="239"/>
      <c r="J169" s="239"/>
      <c r="K169" s="239"/>
      <c r="L169" s="239"/>
      <c r="M169" s="239"/>
      <c r="N169" s="239"/>
      <c r="O169" s="239"/>
      <c r="P169" s="239"/>
      <c r="Q169" s="250"/>
      <c r="R169" s="261"/>
      <c r="S169" s="222">
        <f t="shared" si="1"/>
        <v>0</v>
      </c>
      <c r="T169" s="228">
        <f t="shared" si="2"/>
        <v>0</v>
      </c>
      <c r="U169" s="222">
        <f t="shared" si="3"/>
        <v>0</v>
      </c>
      <c r="V169" s="222">
        <f t="shared" si="4"/>
        <v>0</v>
      </c>
      <c r="W169" s="228">
        <f t="shared" si="5"/>
        <v>0</v>
      </c>
      <c r="X169" s="228"/>
      <c r="Y169" s="141"/>
      <c r="Z169" s="35"/>
    </row>
    <row r="170" spans="1:26" ht="14.1" customHeight="1" x14ac:dyDescent="0.25">
      <c r="A170" s="217" t="s">
        <v>107</v>
      </c>
      <c r="B170" s="218" t="s">
        <v>74</v>
      </c>
      <c r="C170" s="567"/>
      <c r="D170" s="568"/>
      <c r="E170" s="569"/>
      <c r="F170" s="801">
        <f>SUM(F171:F175)</f>
        <v>0</v>
      </c>
      <c r="G170" s="802">
        <f>SUM(G171:G175)</f>
        <v>0</v>
      </c>
      <c r="H170" s="239"/>
      <c r="I170" s="239"/>
      <c r="J170" s="239"/>
      <c r="K170" s="239"/>
      <c r="L170" s="239"/>
      <c r="M170" s="239"/>
      <c r="N170" s="239"/>
      <c r="O170" s="239"/>
      <c r="P170" s="239"/>
      <c r="Q170" s="250"/>
      <c r="R170" s="261"/>
      <c r="S170" s="236">
        <f t="shared" si="1"/>
        <v>0</v>
      </c>
      <c r="T170" s="237">
        <f t="shared" si="2"/>
        <v>0</v>
      </c>
      <c r="U170" s="236">
        <f t="shared" si="3"/>
        <v>0</v>
      </c>
      <c r="V170" s="236">
        <f t="shared" si="4"/>
        <v>0</v>
      </c>
      <c r="W170" s="237">
        <f t="shared" si="5"/>
        <v>0</v>
      </c>
      <c r="X170" s="237"/>
      <c r="Y170" s="141"/>
      <c r="Z170" s="35"/>
    </row>
    <row r="171" spans="1:26" ht="14.1" hidden="1" customHeight="1" x14ac:dyDescent="0.25">
      <c r="A171" s="152" t="s">
        <v>235</v>
      </c>
      <c r="B171" s="110" t="s">
        <v>287</v>
      </c>
      <c r="C171" s="575"/>
      <c r="D171" s="576"/>
      <c r="E171" s="577"/>
      <c r="F171" s="795">
        <f>D171*E171</f>
        <v>0</v>
      </c>
      <c r="G171" s="76">
        <f>F171*C4</f>
        <v>0</v>
      </c>
      <c r="H171" s="239"/>
      <c r="I171" s="239"/>
      <c r="J171" s="239"/>
      <c r="K171" s="239"/>
      <c r="L171" s="239"/>
      <c r="M171" s="239"/>
      <c r="N171" s="239"/>
      <c r="O171" s="239"/>
      <c r="P171" s="239"/>
      <c r="Q171" s="250"/>
      <c r="R171" s="261"/>
      <c r="S171" s="222">
        <f t="shared" si="1"/>
        <v>0</v>
      </c>
      <c r="T171" s="228">
        <f t="shared" si="2"/>
        <v>0</v>
      </c>
      <c r="U171" s="222">
        <f t="shared" si="3"/>
        <v>0</v>
      </c>
      <c r="V171" s="222">
        <f t="shared" si="4"/>
        <v>0</v>
      </c>
      <c r="W171" s="228">
        <f t="shared" si="5"/>
        <v>0</v>
      </c>
      <c r="X171" s="228"/>
      <c r="Y171" s="141"/>
      <c r="Z171" s="35"/>
    </row>
    <row r="172" spans="1:26" ht="14.1" hidden="1" customHeight="1" x14ac:dyDescent="0.25">
      <c r="A172" s="152" t="s">
        <v>236</v>
      </c>
      <c r="B172" s="110" t="s">
        <v>288</v>
      </c>
      <c r="C172" s="575"/>
      <c r="D172" s="576"/>
      <c r="E172" s="577"/>
      <c r="F172" s="795">
        <f>D172*E172</f>
        <v>0</v>
      </c>
      <c r="G172" s="76">
        <f>F172*C4</f>
        <v>0</v>
      </c>
      <c r="H172" s="239"/>
      <c r="I172" s="239"/>
      <c r="J172" s="239"/>
      <c r="K172" s="239"/>
      <c r="L172" s="239"/>
      <c r="M172" s="239"/>
      <c r="N172" s="239"/>
      <c r="O172" s="239"/>
      <c r="P172" s="239"/>
      <c r="Q172" s="250"/>
      <c r="R172" s="261"/>
      <c r="S172" s="222">
        <f t="shared" ref="S172:S235" si="12">R172-F172</f>
        <v>0</v>
      </c>
      <c r="T172" s="228">
        <f t="shared" ref="T172:T235" si="13">IF(F172=0,0,S172/F172)</f>
        <v>0</v>
      </c>
      <c r="U172" s="222">
        <f t="shared" ref="U172:U235" si="14">R172*$C$4</f>
        <v>0</v>
      </c>
      <c r="V172" s="222">
        <f t="shared" ref="V172:V235" si="15">U172-G172</f>
        <v>0</v>
      </c>
      <c r="W172" s="228">
        <f t="shared" ref="W172:W235" si="16">IF(G172=0,0,V172/G172)</f>
        <v>0</v>
      </c>
      <c r="X172" s="228"/>
      <c r="Y172" s="141"/>
      <c r="Z172" s="35"/>
    </row>
    <row r="173" spans="1:26" ht="14.1" hidden="1" customHeight="1" x14ac:dyDescent="0.25">
      <c r="A173" s="152" t="s">
        <v>237</v>
      </c>
      <c r="B173" s="110" t="s">
        <v>289</v>
      </c>
      <c r="C173" s="575"/>
      <c r="D173" s="576"/>
      <c r="E173" s="577"/>
      <c r="F173" s="795">
        <f>D173*E173</f>
        <v>0</v>
      </c>
      <c r="G173" s="76">
        <f>F173*C4</f>
        <v>0</v>
      </c>
      <c r="H173" s="239"/>
      <c r="I173" s="239"/>
      <c r="J173" s="239"/>
      <c r="K173" s="239"/>
      <c r="L173" s="239"/>
      <c r="M173" s="239"/>
      <c r="N173" s="239"/>
      <c r="O173" s="239"/>
      <c r="P173" s="239"/>
      <c r="Q173" s="250"/>
      <c r="R173" s="261"/>
      <c r="S173" s="222">
        <f t="shared" si="12"/>
        <v>0</v>
      </c>
      <c r="T173" s="228">
        <f t="shared" si="13"/>
        <v>0</v>
      </c>
      <c r="U173" s="222">
        <f t="shared" si="14"/>
        <v>0</v>
      </c>
      <c r="V173" s="222">
        <f t="shared" si="15"/>
        <v>0</v>
      </c>
      <c r="W173" s="228">
        <f t="shared" si="16"/>
        <v>0</v>
      </c>
      <c r="X173" s="228"/>
      <c r="Y173" s="141"/>
      <c r="Z173" s="35"/>
    </row>
    <row r="174" spans="1:26" ht="14.1" hidden="1" customHeight="1" x14ac:dyDescent="0.25">
      <c r="A174" s="152" t="s">
        <v>238</v>
      </c>
      <c r="B174" s="110" t="s">
        <v>290</v>
      </c>
      <c r="C174" s="575"/>
      <c r="D174" s="576"/>
      <c r="E174" s="577"/>
      <c r="F174" s="795">
        <f>D174*E174</f>
        <v>0</v>
      </c>
      <c r="G174" s="76">
        <f>F174*C4</f>
        <v>0</v>
      </c>
      <c r="H174" s="239"/>
      <c r="I174" s="239"/>
      <c r="J174" s="239"/>
      <c r="K174" s="239"/>
      <c r="L174" s="239"/>
      <c r="M174" s="239"/>
      <c r="N174" s="239"/>
      <c r="O174" s="239"/>
      <c r="P174" s="239"/>
      <c r="Q174" s="250"/>
      <c r="R174" s="261"/>
      <c r="S174" s="222">
        <f t="shared" si="12"/>
        <v>0</v>
      </c>
      <c r="T174" s="228">
        <f t="shared" si="13"/>
        <v>0</v>
      </c>
      <c r="U174" s="222">
        <f t="shared" si="14"/>
        <v>0</v>
      </c>
      <c r="V174" s="222">
        <f t="shared" si="15"/>
        <v>0</v>
      </c>
      <c r="W174" s="228">
        <f t="shared" si="16"/>
        <v>0</v>
      </c>
      <c r="X174" s="228"/>
      <c r="Y174" s="141"/>
      <c r="Z174" s="35"/>
    </row>
    <row r="175" spans="1:26" ht="14.1" hidden="1" customHeight="1" x14ac:dyDescent="0.25">
      <c r="A175" s="152" t="s">
        <v>239</v>
      </c>
      <c r="B175" s="110" t="s">
        <v>291</v>
      </c>
      <c r="C175" s="575"/>
      <c r="D175" s="576"/>
      <c r="E175" s="577"/>
      <c r="F175" s="795">
        <f>D175*E175</f>
        <v>0</v>
      </c>
      <c r="G175" s="76">
        <f>F175*C4</f>
        <v>0</v>
      </c>
      <c r="H175" s="239"/>
      <c r="I175" s="239"/>
      <c r="J175" s="239"/>
      <c r="K175" s="239"/>
      <c r="L175" s="239"/>
      <c r="M175" s="239"/>
      <c r="N175" s="239"/>
      <c r="O175" s="239"/>
      <c r="P175" s="239"/>
      <c r="Q175" s="250"/>
      <c r="R175" s="261"/>
      <c r="S175" s="222">
        <f t="shared" si="12"/>
        <v>0</v>
      </c>
      <c r="T175" s="228">
        <f t="shared" si="13"/>
        <v>0</v>
      </c>
      <c r="U175" s="222">
        <f t="shared" si="14"/>
        <v>0</v>
      </c>
      <c r="V175" s="222">
        <f t="shared" si="15"/>
        <v>0</v>
      </c>
      <c r="W175" s="228">
        <f t="shared" si="16"/>
        <v>0</v>
      </c>
      <c r="X175" s="228"/>
      <c r="Y175" s="141"/>
      <c r="Z175" s="35"/>
    </row>
    <row r="176" spans="1:26" ht="14.1" customHeight="1" x14ac:dyDescent="0.25">
      <c r="A176" s="217" t="s">
        <v>108</v>
      </c>
      <c r="B176" s="218" t="s">
        <v>470</v>
      </c>
      <c r="C176" s="567"/>
      <c r="D176" s="568"/>
      <c r="E176" s="569"/>
      <c r="F176" s="801">
        <f>SUM(F177:F181)</f>
        <v>0</v>
      </c>
      <c r="G176" s="802">
        <f>SUM(G177:G181)</f>
        <v>0</v>
      </c>
      <c r="H176" s="239"/>
      <c r="I176" s="239"/>
      <c r="J176" s="239"/>
      <c r="K176" s="239"/>
      <c r="L176" s="239"/>
      <c r="M176" s="239"/>
      <c r="N176" s="239"/>
      <c r="O176" s="239"/>
      <c r="P176" s="239"/>
      <c r="Q176" s="250"/>
      <c r="R176" s="261"/>
      <c r="S176" s="236">
        <f t="shared" si="12"/>
        <v>0</v>
      </c>
      <c r="T176" s="237">
        <f t="shared" si="13"/>
        <v>0</v>
      </c>
      <c r="U176" s="236">
        <f t="shared" si="14"/>
        <v>0</v>
      </c>
      <c r="V176" s="236">
        <f t="shared" si="15"/>
        <v>0</v>
      </c>
      <c r="W176" s="237">
        <f t="shared" si="16"/>
        <v>0</v>
      </c>
      <c r="X176" s="237"/>
      <c r="Y176" s="141"/>
      <c r="Z176" s="35"/>
    </row>
    <row r="177" spans="1:26" ht="14.1" hidden="1" customHeight="1" x14ac:dyDescent="0.25">
      <c r="A177" s="734" t="s">
        <v>240</v>
      </c>
      <c r="B177" s="110" t="s">
        <v>471</v>
      </c>
      <c r="C177" s="575"/>
      <c r="D177" s="576"/>
      <c r="E177" s="577"/>
      <c r="F177" s="803"/>
      <c r="G177" s="804"/>
      <c r="H177" s="735"/>
      <c r="I177" s="735"/>
      <c r="J177" s="735"/>
      <c r="K177" s="735"/>
      <c r="L177" s="735"/>
      <c r="M177" s="735"/>
      <c r="N177" s="735"/>
      <c r="O177" s="735"/>
      <c r="P177" s="735"/>
      <c r="Q177" s="736"/>
      <c r="R177" s="737"/>
      <c r="S177" s="738">
        <f t="shared" si="12"/>
        <v>0</v>
      </c>
      <c r="T177" s="739">
        <f t="shared" si="13"/>
        <v>0</v>
      </c>
      <c r="U177" s="738">
        <f t="shared" si="14"/>
        <v>0</v>
      </c>
      <c r="V177" s="738">
        <f t="shared" si="15"/>
        <v>0</v>
      </c>
      <c r="W177" s="739">
        <f t="shared" si="16"/>
        <v>0</v>
      </c>
      <c r="X177" s="739"/>
      <c r="Y177" s="740"/>
      <c r="Z177" s="741"/>
    </row>
    <row r="178" spans="1:26" ht="14.1" hidden="1" customHeight="1" x14ac:dyDescent="0.25">
      <c r="A178" s="157" t="s">
        <v>241</v>
      </c>
      <c r="B178" s="110" t="s">
        <v>472</v>
      </c>
      <c r="C178" s="575"/>
      <c r="D178" s="576"/>
      <c r="E178" s="577"/>
      <c r="F178" s="795">
        <f>D178*E178</f>
        <v>0</v>
      </c>
      <c r="G178" s="76">
        <f>F178*C4</f>
        <v>0</v>
      </c>
      <c r="H178" s="239"/>
      <c r="I178" s="239"/>
      <c r="J178" s="239"/>
      <c r="K178" s="239"/>
      <c r="L178" s="239"/>
      <c r="M178" s="239"/>
      <c r="N178" s="239"/>
      <c r="O178" s="239"/>
      <c r="P178" s="239"/>
      <c r="Q178" s="250"/>
      <c r="R178" s="261"/>
      <c r="S178" s="222">
        <f t="shared" si="12"/>
        <v>0</v>
      </c>
      <c r="T178" s="228">
        <f t="shared" si="13"/>
        <v>0</v>
      </c>
      <c r="U178" s="222">
        <f t="shared" si="14"/>
        <v>0</v>
      </c>
      <c r="V178" s="222">
        <f t="shared" si="15"/>
        <v>0</v>
      </c>
      <c r="W178" s="228">
        <f t="shared" si="16"/>
        <v>0</v>
      </c>
      <c r="X178" s="228"/>
      <c r="Y178" s="141"/>
      <c r="Z178" s="35"/>
    </row>
    <row r="179" spans="1:26" ht="14.1" hidden="1" customHeight="1" x14ac:dyDescent="0.25">
      <c r="A179" s="157" t="s">
        <v>242</v>
      </c>
      <c r="B179" s="110" t="s">
        <v>473</v>
      </c>
      <c r="C179" s="575"/>
      <c r="D179" s="576"/>
      <c r="E179" s="577"/>
      <c r="F179" s="795">
        <f>D179*E179</f>
        <v>0</v>
      </c>
      <c r="G179" s="76">
        <f>F179*C4</f>
        <v>0</v>
      </c>
      <c r="H179" s="239"/>
      <c r="I179" s="239"/>
      <c r="J179" s="239"/>
      <c r="K179" s="239"/>
      <c r="L179" s="239"/>
      <c r="M179" s="239"/>
      <c r="N179" s="239"/>
      <c r="O179" s="239"/>
      <c r="P179" s="239"/>
      <c r="Q179" s="250"/>
      <c r="R179" s="261"/>
      <c r="S179" s="222">
        <f t="shared" si="12"/>
        <v>0</v>
      </c>
      <c r="T179" s="228">
        <f t="shared" si="13"/>
        <v>0</v>
      </c>
      <c r="U179" s="222">
        <f t="shared" si="14"/>
        <v>0</v>
      </c>
      <c r="V179" s="222">
        <f t="shared" si="15"/>
        <v>0</v>
      </c>
      <c r="W179" s="228">
        <f t="shared" si="16"/>
        <v>0</v>
      </c>
      <c r="X179" s="228"/>
      <c r="Y179" s="141"/>
      <c r="Z179" s="35"/>
    </row>
    <row r="180" spans="1:26" ht="14.1" hidden="1" customHeight="1" x14ac:dyDescent="0.25">
      <c r="A180" s="157" t="s">
        <v>243</v>
      </c>
      <c r="B180" s="110" t="s">
        <v>474</v>
      </c>
      <c r="C180" s="575"/>
      <c r="D180" s="576"/>
      <c r="E180" s="577"/>
      <c r="F180" s="795">
        <f>D180*E180</f>
        <v>0</v>
      </c>
      <c r="G180" s="76">
        <f>F180*C4</f>
        <v>0</v>
      </c>
      <c r="H180" s="239"/>
      <c r="I180" s="239"/>
      <c r="J180" s="239"/>
      <c r="K180" s="239"/>
      <c r="L180" s="239"/>
      <c r="M180" s="239"/>
      <c r="N180" s="239"/>
      <c r="O180" s="239"/>
      <c r="P180" s="239"/>
      <c r="Q180" s="250"/>
      <c r="R180" s="261"/>
      <c r="S180" s="222">
        <f t="shared" si="12"/>
        <v>0</v>
      </c>
      <c r="T180" s="228">
        <f t="shared" si="13"/>
        <v>0</v>
      </c>
      <c r="U180" s="222">
        <f t="shared" si="14"/>
        <v>0</v>
      </c>
      <c r="V180" s="222">
        <f t="shared" si="15"/>
        <v>0</v>
      </c>
      <c r="W180" s="228">
        <f t="shared" si="16"/>
        <v>0</v>
      </c>
      <c r="X180" s="228"/>
      <c r="Y180" s="141"/>
      <c r="Z180" s="35"/>
    </row>
    <row r="181" spans="1:26" ht="14.1" hidden="1" customHeight="1" x14ac:dyDescent="0.25">
      <c r="A181" s="157" t="s">
        <v>244</v>
      </c>
      <c r="B181" s="110" t="s">
        <v>475</v>
      </c>
      <c r="C181" s="575"/>
      <c r="D181" s="576"/>
      <c r="E181" s="577"/>
      <c r="F181" s="795">
        <f>D181*E181</f>
        <v>0</v>
      </c>
      <c r="G181" s="76">
        <f>F181*C4</f>
        <v>0</v>
      </c>
      <c r="H181" s="239"/>
      <c r="I181" s="239"/>
      <c r="J181" s="239"/>
      <c r="K181" s="239"/>
      <c r="L181" s="239"/>
      <c r="M181" s="239"/>
      <c r="N181" s="239"/>
      <c r="O181" s="239"/>
      <c r="P181" s="239"/>
      <c r="Q181" s="250"/>
      <c r="R181" s="261"/>
      <c r="S181" s="222">
        <f t="shared" si="12"/>
        <v>0</v>
      </c>
      <c r="T181" s="228">
        <f t="shared" si="13"/>
        <v>0</v>
      </c>
      <c r="U181" s="222">
        <f t="shared" si="14"/>
        <v>0</v>
      </c>
      <c r="V181" s="222">
        <f t="shared" si="15"/>
        <v>0</v>
      </c>
      <c r="W181" s="228">
        <f t="shared" si="16"/>
        <v>0</v>
      </c>
      <c r="X181" s="228"/>
      <c r="Y181" s="141"/>
      <c r="Z181" s="35"/>
    </row>
    <row r="182" spans="1:26" ht="14.1" customHeight="1" x14ac:dyDescent="0.25">
      <c r="A182" s="217" t="s">
        <v>109</v>
      </c>
      <c r="B182" s="218" t="s">
        <v>476</v>
      </c>
      <c r="C182" s="567"/>
      <c r="D182" s="568"/>
      <c r="E182" s="569"/>
      <c r="F182" s="801">
        <f>SUM(F183:F187)</f>
        <v>0</v>
      </c>
      <c r="G182" s="802">
        <f>SUM(G183:G187)</f>
        <v>0</v>
      </c>
      <c r="H182" s="239"/>
      <c r="I182" s="239"/>
      <c r="J182" s="239"/>
      <c r="K182" s="239"/>
      <c r="L182" s="239"/>
      <c r="M182" s="239"/>
      <c r="N182" s="239"/>
      <c r="O182" s="239"/>
      <c r="P182" s="239"/>
      <c r="Q182" s="250"/>
      <c r="R182" s="261"/>
      <c r="S182" s="236">
        <f t="shared" si="12"/>
        <v>0</v>
      </c>
      <c r="T182" s="237">
        <f t="shared" si="13"/>
        <v>0</v>
      </c>
      <c r="U182" s="236">
        <f t="shared" si="14"/>
        <v>0</v>
      </c>
      <c r="V182" s="236">
        <f t="shared" si="15"/>
        <v>0</v>
      </c>
      <c r="W182" s="237">
        <f t="shared" si="16"/>
        <v>0</v>
      </c>
      <c r="X182" s="237"/>
      <c r="Y182" s="141"/>
      <c r="Z182" s="35"/>
    </row>
    <row r="183" spans="1:26" ht="14.1" hidden="1" customHeight="1" x14ac:dyDescent="0.25">
      <c r="A183" s="152" t="s">
        <v>245</v>
      </c>
      <c r="B183" s="110" t="s">
        <v>477</v>
      </c>
      <c r="C183" s="575"/>
      <c r="D183" s="576"/>
      <c r="E183" s="577"/>
      <c r="F183" s="795">
        <f>D183*E183</f>
        <v>0</v>
      </c>
      <c r="G183" s="76">
        <f>F183*C4</f>
        <v>0</v>
      </c>
      <c r="H183" s="239"/>
      <c r="I183" s="239"/>
      <c r="J183" s="239"/>
      <c r="K183" s="239"/>
      <c r="L183" s="239"/>
      <c r="M183" s="239"/>
      <c r="N183" s="239"/>
      <c r="O183" s="239"/>
      <c r="P183" s="239"/>
      <c r="Q183" s="250"/>
      <c r="R183" s="261"/>
      <c r="S183" s="222">
        <f t="shared" si="12"/>
        <v>0</v>
      </c>
      <c r="T183" s="228">
        <f t="shared" si="13"/>
        <v>0</v>
      </c>
      <c r="U183" s="222">
        <f t="shared" si="14"/>
        <v>0</v>
      </c>
      <c r="V183" s="222">
        <f t="shared" si="15"/>
        <v>0</v>
      </c>
      <c r="W183" s="228">
        <f t="shared" si="16"/>
        <v>0</v>
      </c>
      <c r="X183" s="228"/>
      <c r="Y183" s="141"/>
      <c r="Z183" s="35"/>
    </row>
    <row r="184" spans="1:26" ht="14.1" hidden="1" customHeight="1" x14ac:dyDescent="0.25">
      <c r="A184" s="152" t="s">
        <v>246</v>
      </c>
      <c r="B184" s="110" t="s">
        <v>478</v>
      </c>
      <c r="C184" s="575"/>
      <c r="D184" s="576"/>
      <c r="E184" s="577"/>
      <c r="F184" s="795">
        <f>D184*E184</f>
        <v>0</v>
      </c>
      <c r="G184" s="76">
        <f>F184*C4</f>
        <v>0</v>
      </c>
      <c r="H184" s="239"/>
      <c r="I184" s="239"/>
      <c r="J184" s="239"/>
      <c r="K184" s="239"/>
      <c r="L184" s="239"/>
      <c r="M184" s="239"/>
      <c r="N184" s="239"/>
      <c r="O184" s="239"/>
      <c r="P184" s="239"/>
      <c r="Q184" s="250"/>
      <c r="R184" s="261"/>
      <c r="S184" s="222">
        <f t="shared" si="12"/>
        <v>0</v>
      </c>
      <c r="T184" s="228">
        <f t="shared" si="13"/>
        <v>0</v>
      </c>
      <c r="U184" s="222">
        <f t="shared" si="14"/>
        <v>0</v>
      </c>
      <c r="V184" s="222">
        <f t="shared" si="15"/>
        <v>0</v>
      </c>
      <c r="W184" s="228">
        <f t="shared" si="16"/>
        <v>0</v>
      </c>
      <c r="X184" s="228"/>
      <c r="Y184" s="141"/>
      <c r="Z184" s="35"/>
    </row>
    <row r="185" spans="1:26" ht="14.1" hidden="1" customHeight="1" x14ac:dyDescent="0.25">
      <c r="A185" s="152" t="s">
        <v>247</v>
      </c>
      <c r="B185" s="110" t="s">
        <v>479</v>
      </c>
      <c r="C185" s="575"/>
      <c r="D185" s="576"/>
      <c r="E185" s="577"/>
      <c r="F185" s="795">
        <f>D185*E185</f>
        <v>0</v>
      </c>
      <c r="G185" s="76">
        <f>F185*C4</f>
        <v>0</v>
      </c>
      <c r="H185" s="239"/>
      <c r="I185" s="239"/>
      <c r="J185" s="239"/>
      <c r="K185" s="239"/>
      <c r="L185" s="239"/>
      <c r="M185" s="239"/>
      <c r="N185" s="239"/>
      <c r="O185" s="239"/>
      <c r="P185" s="239"/>
      <c r="Q185" s="250"/>
      <c r="R185" s="261"/>
      <c r="S185" s="222">
        <f t="shared" si="12"/>
        <v>0</v>
      </c>
      <c r="T185" s="228">
        <f t="shared" si="13"/>
        <v>0</v>
      </c>
      <c r="U185" s="222">
        <f t="shared" si="14"/>
        <v>0</v>
      </c>
      <c r="V185" s="222">
        <f t="shared" si="15"/>
        <v>0</v>
      </c>
      <c r="W185" s="228">
        <f t="shared" si="16"/>
        <v>0</v>
      </c>
      <c r="X185" s="228"/>
      <c r="Y185" s="141"/>
      <c r="Z185" s="35"/>
    </row>
    <row r="186" spans="1:26" ht="14.1" hidden="1" customHeight="1" x14ac:dyDescent="0.25">
      <c r="A186" s="152" t="s">
        <v>248</v>
      </c>
      <c r="B186" s="110" t="s">
        <v>480</v>
      </c>
      <c r="C186" s="575"/>
      <c r="D186" s="576"/>
      <c r="E186" s="577"/>
      <c r="F186" s="795">
        <f>D186*E186</f>
        <v>0</v>
      </c>
      <c r="G186" s="76">
        <f>F186*C4</f>
        <v>0</v>
      </c>
      <c r="H186" s="239"/>
      <c r="I186" s="239"/>
      <c r="J186" s="239"/>
      <c r="K186" s="239"/>
      <c r="L186" s="239"/>
      <c r="M186" s="239"/>
      <c r="N186" s="239"/>
      <c r="O186" s="239"/>
      <c r="P186" s="239"/>
      <c r="Q186" s="250"/>
      <c r="R186" s="261"/>
      <c r="S186" s="222">
        <f t="shared" si="12"/>
        <v>0</v>
      </c>
      <c r="T186" s="228">
        <f t="shared" si="13"/>
        <v>0</v>
      </c>
      <c r="U186" s="222">
        <f t="shared" si="14"/>
        <v>0</v>
      </c>
      <c r="V186" s="222">
        <f t="shared" si="15"/>
        <v>0</v>
      </c>
      <c r="W186" s="228">
        <f t="shared" si="16"/>
        <v>0</v>
      </c>
      <c r="X186" s="228"/>
      <c r="Y186" s="141"/>
      <c r="Z186" s="35"/>
    </row>
    <row r="187" spans="1:26" ht="14.1" hidden="1" customHeight="1" x14ac:dyDescent="0.25">
      <c r="A187" s="152" t="s">
        <v>249</v>
      </c>
      <c r="B187" s="110" t="s">
        <v>481</v>
      </c>
      <c r="C187" s="575"/>
      <c r="D187" s="576"/>
      <c r="E187" s="577"/>
      <c r="F187" s="795">
        <f>D187*E187</f>
        <v>0</v>
      </c>
      <c r="G187" s="76">
        <f>F187*C4</f>
        <v>0</v>
      </c>
      <c r="H187" s="239"/>
      <c r="I187" s="239"/>
      <c r="J187" s="239"/>
      <c r="K187" s="239"/>
      <c r="L187" s="239"/>
      <c r="M187" s="239"/>
      <c r="N187" s="239"/>
      <c r="O187" s="239"/>
      <c r="P187" s="239"/>
      <c r="Q187" s="250"/>
      <c r="R187" s="261"/>
      <c r="S187" s="222">
        <f t="shared" si="12"/>
        <v>0</v>
      </c>
      <c r="T187" s="228">
        <f t="shared" si="13"/>
        <v>0</v>
      </c>
      <c r="U187" s="222">
        <f t="shared" si="14"/>
        <v>0</v>
      </c>
      <c r="V187" s="222">
        <f t="shared" si="15"/>
        <v>0</v>
      </c>
      <c r="W187" s="228">
        <f t="shared" si="16"/>
        <v>0</v>
      </c>
      <c r="X187" s="228"/>
      <c r="Y187" s="141"/>
      <c r="Z187" s="35"/>
    </row>
    <row r="188" spans="1:26" ht="14.1" customHeight="1" x14ac:dyDescent="0.25">
      <c r="A188" s="74"/>
      <c r="B188" s="153"/>
      <c r="C188" s="667"/>
      <c r="D188" s="580"/>
      <c r="E188" s="581"/>
      <c r="F188" s="795"/>
      <c r="G188" s="76"/>
      <c r="H188" s="239"/>
      <c r="I188" s="239"/>
      <c r="J188" s="239"/>
      <c r="K188" s="239"/>
      <c r="L188" s="239"/>
      <c r="M188" s="239"/>
      <c r="N188" s="239"/>
      <c r="O188" s="239"/>
      <c r="P188" s="239"/>
      <c r="Q188" s="250"/>
      <c r="R188" s="256"/>
      <c r="S188" s="222"/>
      <c r="T188" s="228"/>
      <c r="U188" s="222"/>
      <c r="V188" s="222"/>
      <c r="W188" s="228"/>
      <c r="X188" s="228"/>
      <c r="Y188" s="141"/>
      <c r="Z188" s="35"/>
    </row>
    <row r="189" spans="1:26" ht="14.1" customHeight="1" thickBot="1" x14ac:dyDescent="0.3">
      <c r="A189" s="103"/>
      <c r="B189" s="150" t="s">
        <v>130</v>
      </c>
      <c r="C189" s="480"/>
      <c r="D189" s="499"/>
      <c r="E189" s="485"/>
      <c r="F189" s="796">
        <f>SUM(F109,F115,F121,F127,F133,F157,F164,F170,F176,F182)</f>
        <v>206852.25</v>
      </c>
      <c r="G189" s="796">
        <f>SUM(G109,G115,G121,G127,G133,G157,G164,G170,G176,G182)</f>
        <v>291661.67249999999</v>
      </c>
      <c r="H189" s="556"/>
      <c r="I189" s="556"/>
      <c r="J189" s="556"/>
      <c r="K189" s="556"/>
      <c r="L189" s="556"/>
      <c r="M189" s="556"/>
      <c r="N189" s="556"/>
      <c r="O189" s="556"/>
      <c r="P189" s="556"/>
      <c r="Q189" s="557"/>
      <c r="R189" s="558"/>
      <c r="S189" s="234">
        <f t="shared" si="12"/>
        <v>-206852.25</v>
      </c>
      <c r="T189" s="235">
        <f t="shared" si="13"/>
        <v>-1</v>
      </c>
      <c r="U189" s="234">
        <f t="shared" si="14"/>
        <v>0</v>
      </c>
      <c r="V189" s="234">
        <f t="shared" si="15"/>
        <v>-291661.67249999999</v>
      </c>
      <c r="W189" s="235">
        <f t="shared" si="16"/>
        <v>-1</v>
      </c>
      <c r="X189" s="235"/>
      <c r="Y189" s="153"/>
      <c r="Z189" s="35"/>
    </row>
    <row r="190" spans="1:26" ht="14.1" customHeight="1" thickTop="1" x14ac:dyDescent="0.25">
      <c r="A190" s="74"/>
      <c r="B190" s="35"/>
      <c r="C190" s="83"/>
      <c r="D190" s="443"/>
      <c r="E190" s="444"/>
      <c r="F190" s="76"/>
      <c r="G190" s="795"/>
      <c r="H190" s="582"/>
      <c r="I190" s="582"/>
      <c r="J190" s="582"/>
      <c r="K190" s="582"/>
      <c r="L190" s="582"/>
      <c r="M190" s="582"/>
      <c r="N190" s="582"/>
      <c r="O190" s="582"/>
      <c r="P190" s="582"/>
      <c r="Q190" s="583"/>
      <c r="R190" s="742"/>
      <c r="S190" s="222"/>
      <c r="T190" s="228"/>
      <c r="U190" s="222"/>
      <c r="V190" s="222"/>
      <c r="W190" s="228"/>
      <c r="X190" s="228"/>
      <c r="Y190" s="141"/>
      <c r="Z190" s="35"/>
    </row>
    <row r="191" spans="1:26" ht="14.1" customHeight="1" x14ac:dyDescent="0.25">
      <c r="A191" s="129">
        <v>3</v>
      </c>
      <c r="B191" s="130" t="s">
        <v>133</v>
      </c>
      <c r="C191" s="507"/>
      <c r="D191" s="508"/>
      <c r="E191" s="509"/>
      <c r="F191" s="805"/>
      <c r="G191" s="133"/>
      <c r="H191" s="238"/>
      <c r="I191" s="238"/>
      <c r="J191" s="238"/>
      <c r="K191" s="238"/>
      <c r="L191" s="238"/>
      <c r="M191" s="238"/>
      <c r="N191" s="238"/>
      <c r="O191" s="238"/>
      <c r="P191" s="238"/>
      <c r="Q191" s="251"/>
      <c r="R191" s="259"/>
      <c r="S191" s="227"/>
      <c r="T191" s="229"/>
      <c r="U191" s="227"/>
      <c r="V191" s="227"/>
      <c r="W191" s="229"/>
      <c r="X191" s="229"/>
      <c r="Y191" s="141"/>
      <c r="Z191" s="35"/>
    </row>
    <row r="192" spans="1:26" ht="14.1" customHeight="1" x14ac:dyDescent="0.25">
      <c r="A192" s="161">
        <v>3.1</v>
      </c>
      <c r="B192" s="144" t="s">
        <v>52</v>
      </c>
      <c r="C192" s="687" t="s">
        <v>780</v>
      </c>
      <c r="D192" s="688">
        <v>1</v>
      </c>
      <c r="E192" s="689">
        <v>1500</v>
      </c>
      <c r="F192" s="139">
        <f t="shared" ref="F192:F200" si="17">D192*E192</f>
        <v>1500</v>
      </c>
      <c r="G192" s="123">
        <f>F192*C$4</f>
        <v>2115</v>
      </c>
      <c r="H192" s="239"/>
      <c r="I192" s="239"/>
      <c r="J192" s="239"/>
      <c r="K192" s="239"/>
      <c r="L192" s="239"/>
      <c r="M192" s="239"/>
      <c r="N192" s="239"/>
      <c r="O192" s="239"/>
      <c r="P192" s="239"/>
      <c r="Q192" s="250"/>
      <c r="R192" s="261"/>
      <c r="S192" s="222">
        <f t="shared" si="12"/>
        <v>-1500</v>
      </c>
      <c r="T192" s="228">
        <f t="shared" si="13"/>
        <v>-1</v>
      </c>
      <c r="U192" s="222">
        <f t="shared" si="14"/>
        <v>0</v>
      </c>
      <c r="V192" s="222">
        <f t="shared" si="15"/>
        <v>-2115</v>
      </c>
      <c r="W192" s="228">
        <f t="shared" si="16"/>
        <v>-1</v>
      </c>
      <c r="X192" s="228"/>
      <c r="Y192" s="141"/>
      <c r="Z192" s="35"/>
    </row>
    <row r="193" spans="1:26" ht="14.1" customHeight="1" x14ac:dyDescent="0.25">
      <c r="A193" s="161" t="s">
        <v>140</v>
      </c>
      <c r="B193" s="144" t="s">
        <v>112</v>
      </c>
      <c r="C193" s="342"/>
      <c r="D193" s="515"/>
      <c r="E193" s="516"/>
      <c r="F193" s="139">
        <f t="shared" si="17"/>
        <v>0</v>
      </c>
      <c r="G193" s="123">
        <f>F193*C4</f>
        <v>0</v>
      </c>
      <c r="H193" s="239"/>
      <c r="I193" s="239"/>
      <c r="J193" s="239"/>
      <c r="K193" s="239"/>
      <c r="L193" s="239"/>
      <c r="M193" s="239"/>
      <c r="N193" s="239"/>
      <c r="O193" s="239"/>
      <c r="P193" s="239"/>
      <c r="Q193" s="250"/>
      <c r="R193" s="261"/>
      <c r="S193" s="222">
        <f t="shared" si="12"/>
        <v>0</v>
      </c>
      <c r="T193" s="228">
        <f t="shared" si="13"/>
        <v>0</v>
      </c>
      <c r="U193" s="222">
        <f t="shared" si="14"/>
        <v>0</v>
      </c>
      <c r="V193" s="222">
        <f t="shared" si="15"/>
        <v>0</v>
      </c>
      <c r="W193" s="228">
        <f t="shared" si="16"/>
        <v>0</v>
      </c>
      <c r="X193" s="228"/>
      <c r="Y193" s="141"/>
      <c r="Z193" s="35"/>
    </row>
    <row r="194" spans="1:26" ht="14.1" customHeight="1" x14ac:dyDescent="0.25">
      <c r="A194" s="161">
        <v>3.11</v>
      </c>
      <c r="B194" s="144" t="s">
        <v>146</v>
      </c>
      <c r="C194" s="743" t="s">
        <v>780</v>
      </c>
      <c r="D194" s="687">
        <v>1</v>
      </c>
      <c r="E194" s="688"/>
      <c r="F194" s="139">
        <f t="shared" si="17"/>
        <v>0</v>
      </c>
      <c r="G194" s="123">
        <f t="shared" ref="G194:G200" si="18">F194*C$4</f>
        <v>0</v>
      </c>
      <c r="H194" s="239"/>
      <c r="I194" s="239"/>
      <c r="J194" s="239"/>
      <c r="K194" s="239"/>
      <c r="L194" s="239"/>
      <c r="M194" s="239"/>
      <c r="N194" s="239"/>
      <c r="O194" s="239"/>
      <c r="P194" s="239"/>
      <c r="Q194" s="250"/>
      <c r="R194" s="261"/>
      <c r="S194" s="222">
        <f t="shared" si="12"/>
        <v>0</v>
      </c>
      <c r="T194" s="228">
        <f t="shared" si="13"/>
        <v>0</v>
      </c>
      <c r="U194" s="222">
        <f t="shared" si="14"/>
        <v>0</v>
      </c>
      <c r="V194" s="222">
        <f t="shared" si="15"/>
        <v>0</v>
      </c>
      <c r="W194" s="228">
        <f t="shared" si="16"/>
        <v>0</v>
      </c>
      <c r="X194" s="228"/>
      <c r="Y194" s="141"/>
      <c r="Z194" s="35"/>
    </row>
    <row r="195" spans="1:26" ht="14.1" customHeight="1" x14ac:dyDescent="0.25">
      <c r="A195" s="161" t="s">
        <v>142</v>
      </c>
      <c r="B195" s="144" t="s">
        <v>147</v>
      </c>
      <c r="C195" s="342"/>
      <c r="D195" s="515"/>
      <c r="E195" s="516"/>
      <c r="F195" s="139">
        <f t="shared" si="17"/>
        <v>0</v>
      </c>
      <c r="G195" s="123">
        <f t="shared" si="18"/>
        <v>0</v>
      </c>
      <c r="H195" s="239"/>
      <c r="I195" s="239"/>
      <c r="J195" s="239"/>
      <c r="K195" s="239"/>
      <c r="L195" s="239"/>
      <c r="M195" s="239"/>
      <c r="N195" s="239"/>
      <c r="O195" s="239"/>
      <c r="P195" s="239"/>
      <c r="Q195" s="250"/>
      <c r="R195" s="261"/>
      <c r="S195" s="222">
        <f t="shared" si="12"/>
        <v>0</v>
      </c>
      <c r="T195" s="228">
        <f t="shared" si="13"/>
        <v>0</v>
      </c>
      <c r="U195" s="222">
        <f t="shared" si="14"/>
        <v>0</v>
      </c>
      <c r="V195" s="222">
        <f t="shared" si="15"/>
        <v>0</v>
      </c>
      <c r="W195" s="228">
        <f t="shared" si="16"/>
        <v>0</v>
      </c>
      <c r="X195" s="228"/>
      <c r="Y195" s="141"/>
      <c r="Z195" s="35"/>
    </row>
    <row r="196" spans="1:26" ht="14.1" customHeight="1" x14ac:dyDescent="0.25">
      <c r="A196" s="161" t="s">
        <v>143</v>
      </c>
      <c r="B196" s="144" t="s">
        <v>251</v>
      </c>
      <c r="C196" s="342"/>
      <c r="D196" s="515"/>
      <c r="E196" s="516"/>
      <c r="F196" s="139">
        <f>D196*E196</f>
        <v>0</v>
      </c>
      <c r="G196" s="123">
        <f t="shared" si="18"/>
        <v>0</v>
      </c>
      <c r="H196" s="239"/>
      <c r="I196" s="239"/>
      <c r="J196" s="239"/>
      <c r="K196" s="239"/>
      <c r="L196" s="239"/>
      <c r="M196" s="239"/>
      <c r="N196" s="239"/>
      <c r="O196" s="239"/>
      <c r="P196" s="239"/>
      <c r="Q196" s="250"/>
      <c r="R196" s="261"/>
      <c r="S196" s="222">
        <f t="shared" si="12"/>
        <v>0</v>
      </c>
      <c r="T196" s="228">
        <f t="shared" si="13"/>
        <v>0</v>
      </c>
      <c r="U196" s="222">
        <f t="shared" si="14"/>
        <v>0</v>
      </c>
      <c r="V196" s="222">
        <f t="shared" si="15"/>
        <v>0</v>
      </c>
      <c r="W196" s="228">
        <f t="shared" si="16"/>
        <v>0</v>
      </c>
      <c r="X196" s="228"/>
      <c r="Y196" s="141"/>
      <c r="Z196" s="35"/>
    </row>
    <row r="197" spans="1:26" ht="14.1" customHeight="1" x14ac:dyDescent="0.25">
      <c r="A197" s="161">
        <v>3.12</v>
      </c>
      <c r="B197" s="144" t="s">
        <v>145</v>
      </c>
      <c r="C197" s="743" t="s">
        <v>827</v>
      </c>
      <c r="D197" s="687">
        <v>1</v>
      </c>
      <c r="E197" s="688">
        <v>1000</v>
      </c>
      <c r="F197" s="139">
        <f t="shared" si="17"/>
        <v>1000</v>
      </c>
      <c r="G197" s="123">
        <f t="shared" si="18"/>
        <v>1410</v>
      </c>
      <c r="H197" s="239"/>
      <c r="I197" s="239"/>
      <c r="J197" s="239"/>
      <c r="K197" s="239"/>
      <c r="L197" s="239"/>
      <c r="M197" s="239"/>
      <c r="N197" s="239"/>
      <c r="O197" s="239"/>
      <c r="P197" s="239"/>
      <c r="Q197" s="250"/>
      <c r="R197" s="261"/>
      <c r="S197" s="222">
        <f t="shared" si="12"/>
        <v>-1000</v>
      </c>
      <c r="T197" s="228">
        <f t="shared" si="13"/>
        <v>-1</v>
      </c>
      <c r="U197" s="222">
        <f t="shared" si="14"/>
        <v>0</v>
      </c>
      <c r="V197" s="222">
        <f t="shared" si="15"/>
        <v>-1410</v>
      </c>
      <c r="W197" s="228">
        <f t="shared" si="16"/>
        <v>-1</v>
      </c>
      <c r="X197" s="228"/>
      <c r="Y197" s="141"/>
      <c r="Z197" s="35"/>
    </row>
    <row r="198" spans="1:26" ht="14.1" customHeight="1" x14ac:dyDescent="0.25">
      <c r="A198" s="161">
        <v>3.12</v>
      </c>
      <c r="B198" s="144" t="s">
        <v>171</v>
      </c>
      <c r="C198" s="743" t="s">
        <v>827</v>
      </c>
      <c r="D198" s="687">
        <v>1</v>
      </c>
      <c r="E198" s="688">
        <v>3000</v>
      </c>
      <c r="F198" s="139">
        <f t="shared" si="17"/>
        <v>3000</v>
      </c>
      <c r="G198" s="123">
        <f t="shared" si="18"/>
        <v>4230</v>
      </c>
      <c r="H198" s="239"/>
      <c r="I198" s="239"/>
      <c r="J198" s="239"/>
      <c r="K198" s="239"/>
      <c r="L198" s="239"/>
      <c r="M198" s="239"/>
      <c r="N198" s="239"/>
      <c r="O198" s="239"/>
      <c r="P198" s="239"/>
      <c r="Q198" s="250"/>
      <c r="R198" s="261"/>
      <c r="S198" s="222">
        <f t="shared" si="12"/>
        <v>-3000</v>
      </c>
      <c r="T198" s="228">
        <f t="shared" si="13"/>
        <v>-1</v>
      </c>
      <c r="U198" s="222">
        <f t="shared" si="14"/>
        <v>0</v>
      </c>
      <c r="V198" s="222">
        <f t="shared" si="15"/>
        <v>-4230</v>
      </c>
      <c r="W198" s="228">
        <f t="shared" si="16"/>
        <v>-1</v>
      </c>
      <c r="X198" s="228"/>
      <c r="Y198" s="141"/>
      <c r="Z198" s="35"/>
    </row>
    <row r="199" spans="1:26" ht="14.1" customHeight="1" x14ac:dyDescent="0.25">
      <c r="A199" s="161">
        <v>3.14</v>
      </c>
      <c r="B199" s="144" t="s">
        <v>828</v>
      </c>
      <c r="C199" s="743" t="s">
        <v>328</v>
      </c>
      <c r="D199" s="687">
        <v>1</v>
      </c>
      <c r="E199" s="688">
        <v>5000</v>
      </c>
      <c r="F199" s="139">
        <f t="shared" si="17"/>
        <v>5000</v>
      </c>
      <c r="G199" s="123">
        <f t="shared" si="18"/>
        <v>7050</v>
      </c>
      <c r="H199" s="239"/>
      <c r="I199" s="239"/>
      <c r="J199" s="239"/>
      <c r="K199" s="239"/>
      <c r="L199" s="239"/>
      <c r="M199" s="239"/>
      <c r="N199" s="239"/>
      <c r="O199" s="239"/>
      <c r="P199" s="239"/>
      <c r="Q199" s="250"/>
      <c r="R199" s="261"/>
      <c r="S199" s="222">
        <f t="shared" si="12"/>
        <v>-5000</v>
      </c>
      <c r="T199" s="228">
        <f t="shared" si="13"/>
        <v>-1</v>
      </c>
      <c r="U199" s="222"/>
      <c r="V199" s="222"/>
      <c r="W199" s="228"/>
      <c r="X199" s="228"/>
      <c r="Y199" s="141"/>
      <c r="Z199" s="35"/>
    </row>
    <row r="200" spans="1:26" ht="14.1" customHeight="1" x14ac:dyDescent="0.25">
      <c r="A200" s="161">
        <v>3.15</v>
      </c>
      <c r="B200" s="144" t="s">
        <v>829</v>
      </c>
      <c r="C200" s="743" t="s">
        <v>827</v>
      </c>
      <c r="D200" s="687">
        <v>1</v>
      </c>
      <c r="E200" s="688">
        <v>5000</v>
      </c>
      <c r="F200" s="139">
        <f t="shared" si="17"/>
        <v>5000</v>
      </c>
      <c r="G200" s="123">
        <f t="shared" si="18"/>
        <v>7050</v>
      </c>
      <c r="H200" s="239"/>
      <c r="I200" s="239"/>
      <c r="J200" s="239"/>
      <c r="K200" s="239"/>
      <c r="L200" s="239"/>
      <c r="M200" s="239"/>
      <c r="N200" s="239"/>
      <c r="O200" s="239"/>
      <c r="P200" s="239"/>
      <c r="Q200" s="250"/>
      <c r="R200" s="261"/>
      <c r="S200" s="222">
        <f t="shared" si="12"/>
        <v>-5000</v>
      </c>
      <c r="T200" s="228">
        <f t="shared" si="13"/>
        <v>-1</v>
      </c>
      <c r="U200" s="222"/>
      <c r="V200" s="222"/>
      <c r="W200" s="228"/>
      <c r="X200" s="228"/>
      <c r="Y200" s="141"/>
      <c r="Z200" s="35"/>
    </row>
    <row r="201" spans="1:26" ht="14.1" customHeight="1" x14ac:dyDescent="0.25">
      <c r="A201" s="74"/>
      <c r="B201" s="113"/>
      <c r="C201" s="83"/>
      <c r="D201" s="443"/>
      <c r="E201" s="444"/>
      <c r="F201" s="76"/>
      <c r="G201" s="795"/>
      <c r="H201" s="582"/>
      <c r="I201" s="582"/>
      <c r="J201" s="582"/>
      <c r="K201" s="582"/>
      <c r="L201" s="582"/>
      <c r="M201" s="582"/>
      <c r="N201" s="582"/>
      <c r="O201" s="582"/>
      <c r="P201" s="582"/>
      <c r="Q201" s="583"/>
      <c r="R201" s="742"/>
      <c r="S201" s="222"/>
      <c r="T201" s="228"/>
      <c r="U201" s="222"/>
      <c r="V201" s="222"/>
      <c r="W201" s="228"/>
      <c r="X201" s="228"/>
      <c r="Y201" s="141"/>
      <c r="Z201" s="35"/>
    </row>
    <row r="202" spans="1:26" ht="14.1" customHeight="1" thickBot="1" x14ac:dyDescent="0.3">
      <c r="A202" s="103"/>
      <c r="B202" s="150" t="s">
        <v>114</v>
      </c>
      <c r="C202" s="480"/>
      <c r="D202" s="499"/>
      <c r="E202" s="485"/>
      <c r="F202" s="796">
        <f>F200+F199+F198+F197+F192</f>
        <v>15500</v>
      </c>
      <c r="G202" s="796">
        <f>G200+G199+G198+G197+G192</f>
        <v>21855</v>
      </c>
      <c r="H202" s="556"/>
      <c r="I202" s="556"/>
      <c r="J202" s="556"/>
      <c r="K202" s="556"/>
      <c r="L202" s="556"/>
      <c r="M202" s="556"/>
      <c r="N202" s="556"/>
      <c r="O202" s="556"/>
      <c r="P202" s="556"/>
      <c r="Q202" s="557"/>
      <c r="R202" s="558"/>
      <c r="S202" s="234">
        <f t="shared" si="12"/>
        <v>-15500</v>
      </c>
      <c r="T202" s="235">
        <f t="shared" si="13"/>
        <v>-1</v>
      </c>
      <c r="U202" s="234">
        <f t="shared" si="14"/>
        <v>0</v>
      </c>
      <c r="V202" s="234">
        <f t="shared" si="15"/>
        <v>-21855</v>
      </c>
      <c r="W202" s="235">
        <f t="shared" si="16"/>
        <v>-1</v>
      </c>
      <c r="X202" s="235"/>
      <c r="Y202" s="141"/>
      <c r="Z202" s="35"/>
    </row>
    <row r="203" spans="1:26" ht="14.1" customHeight="1" thickTop="1" x14ac:dyDescent="0.25">
      <c r="A203" s="74"/>
      <c r="B203" s="81"/>
      <c r="C203" s="642"/>
      <c r="D203" s="669"/>
      <c r="E203" s="641"/>
      <c r="F203" s="795"/>
      <c r="G203" s="806"/>
      <c r="H203" s="239"/>
      <c r="I203" s="239"/>
      <c r="J203" s="239"/>
      <c r="K203" s="239"/>
      <c r="L203" s="239"/>
      <c r="M203" s="239"/>
      <c r="N203" s="239"/>
      <c r="O203" s="239"/>
      <c r="P203" s="239"/>
      <c r="Q203" s="250"/>
      <c r="R203" s="256"/>
      <c r="S203" s="222"/>
      <c r="T203" s="228"/>
      <c r="U203" s="222"/>
      <c r="V203" s="222"/>
      <c r="W203" s="228"/>
      <c r="X203" s="228"/>
      <c r="Y203" s="141"/>
      <c r="Z203" s="35"/>
    </row>
    <row r="204" spans="1:26" ht="14.1" customHeight="1" x14ac:dyDescent="0.25">
      <c r="A204" s="129">
        <v>4</v>
      </c>
      <c r="B204" s="130" t="s">
        <v>113</v>
      </c>
      <c r="C204" s="507"/>
      <c r="D204" s="508"/>
      <c r="E204" s="509"/>
      <c r="F204" s="805"/>
      <c r="G204" s="133"/>
      <c r="H204" s="238"/>
      <c r="I204" s="238"/>
      <c r="J204" s="238"/>
      <c r="K204" s="238"/>
      <c r="L204" s="238"/>
      <c r="M204" s="238"/>
      <c r="N204" s="238"/>
      <c r="O204" s="238"/>
      <c r="P204" s="238"/>
      <c r="Q204" s="251"/>
      <c r="R204" s="259"/>
      <c r="S204" s="227"/>
      <c r="T204" s="229"/>
      <c r="U204" s="227"/>
      <c r="V204" s="227"/>
      <c r="W204" s="229"/>
      <c r="X204" s="229"/>
      <c r="Y204" s="141"/>
      <c r="Z204" s="35"/>
    </row>
    <row r="205" spans="1:26" ht="14.1" customHeight="1" x14ac:dyDescent="0.25">
      <c r="A205" s="74" t="s">
        <v>19</v>
      </c>
      <c r="B205" s="81"/>
      <c r="C205" s="642"/>
      <c r="D205" s="669"/>
      <c r="E205" s="641"/>
      <c r="F205" s="795"/>
      <c r="G205" s="806"/>
      <c r="H205" s="239"/>
      <c r="I205" s="239"/>
      <c r="J205" s="239"/>
      <c r="K205" s="239"/>
      <c r="L205" s="239"/>
      <c r="M205" s="239"/>
      <c r="N205" s="239"/>
      <c r="O205" s="239"/>
      <c r="P205" s="239"/>
      <c r="Q205" s="250"/>
      <c r="R205" s="256"/>
      <c r="S205" s="222"/>
      <c r="T205" s="228"/>
      <c r="U205" s="222"/>
      <c r="V205" s="222"/>
      <c r="W205" s="228"/>
      <c r="X205" s="228"/>
      <c r="Y205" s="141"/>
      <c r="Z205" s="35"/>
    </row>
    <row r="206" spans="1:26" ht="14.1" customHeight="1" x14ac:dyDescent="0.25">
      <c r="A206" s="81" t="s">
        <v>148</v>
      </c>
      <c r="B206" s="167" t="s">
        <v>48</v>
      </c>
      <c r="C206" s="689">
        <v>1</v>
      </c>
      <c r="D206" s="689">
        <v>12</v>
      </c>
      <c r="E206" s="689">
        <v>2068</v>
      </c>
      <c r="F206" s="795">
        <f>D206*E206</f>
        <v>24816</v>
      </c>
      <c r="G206" s="123">
        <f>F206*C$4</f>
        <v>34990.559999999998</v>
      </c>
      <c r="H206" s="239"/>
      <c r="I206" s="239"/>
      <c r="J206" s="239"/>
      <c r="K206" s="239"/>
      <c r="L206" s="239"/>
      <c r="M206" s="239"/>
      <c r="N206" s="239"/>
      <c r="O206" s="239"/>
      <c r="P206" s="239"/>
      <c r="Q206" s="250"/>
      <c r="R206" s="261"/>
      <c r="S206" s="222">
        <f t="shared" si="12"/>
        <v>-24816</v>
      </c>
      <c r="T206" s="228">
        <f t="shared" si="13"/>
        <v>-1</v>
      </c>
      <c r="U206" s="222">
        <f t="shared" si="14"/>
        <v>0</v>
      </c>
      <c r="V206" s="222">
        <f t="shared" si="15"/>
        <v>-34990.559999999998</v>
      </c>
      <c r="W206" s="228">
        <f t="shared" si="16"/>
        <v>-1</v>
      </c>
      <c r="X206" s="228"/>
      <c r="Y206" s="141"/>
      <c r="Z206" s="35"/>
    </row>
    <row r="207" spans="1:26" ht="14.1" customHeight="1" x14ac:dyDescent="0.25">
      <c r="A207" s="81" t="s">
        <v>149</v>
      </c>
      <c r="B207" s="167" t="s">
        <v>49</v>
      </c>
      <c r="C207" s="689">
        <v>1</v>
      </c>
      <c r="D207" s="689">
        <v>12</v>
      </c>
      <c r="E207" s="689">
        <v>1200</v>
      </c>
      <c r="F207" s="795">
        <f>D207*E207</f>
        <v>14400</v>
      </c>
      <c r="G207" s="123">
        <f>F207*C$4</f>
        <v>20304</v>
      </c>
      <c r="H207" s="239"/>
      <c r="I207" s="239"/>
      <c r="J207" s="239"/>
      <c r="K207" s="239"/>
      <c r="L207" s="239"/>
      <c r="M207" s="239"/>
      <c r="N207" s="239"/>
      <c r="O207" s="239"/>
      <c r="P207" s="239"/>
      <c r="Q207" s="250"/>
      <c r="R207" s="261"/>
      <c r="S207" s="222">
        <f t="shared" si="12"/>
        <v>-14400</v>
      </c>
      <c r="T207" s="228">
        <f t="shared" si="13"/>
        <v>-1</v>
      </c>
      <c r="U207" s="222">
        <f t="shared" si="14"/>
        <v>0</v>
      </c>
      <c r="V207" s="222">
        <f t="shared" si="15"/>
        <v>-20304</v>
      </c>
      <c r="W207" s="228">
        <f t="shared" si="16"/>
        <v>-1</v>
      </c>
      <c r="X207" s="228"/>
      <c r="Y207" s="141"/>
      <c r="Z207" s="35"/>
    </row>
    <row r="208" spans="1:26" ht="14.1" customHeight="1" x14ac:dyDescent="0.25">
      <c r="A208" s="74" t="s">
        <v>7</v>
      </c>
      <c r="B208" s="141"/>
      <c r="C208" s="671"/>
      <c r="D208" s="672"/>
      <c r="E208" s="673"/>
      <c r="F208" s="795"/>
      <c r="G208" s="806"/>
      <c r="H208" s="239"/>
      <c r="I208" s="239"/>
      <c r="J208" s="239"/>
      <c r="K208" s="239"/>
      <c r="L208" s="239"/>
      <c r="M208" s="239"/>
      <c r="N208" s="239"/>
      <c r="O208" s="239"/>
      <c r="P208" s="239"/>
      <c r="Q208" s="250"/>
      <c r="R208" s="256"/>
      <c r="S208" s="222"/>
      <c r="T208" s="228"/>
      <c r="U208" s="222"/>
      <c r="V208" s="222"/>
      <c r="W208" s="228"/>
      <c r="X208" s="228"/>
      <c r="Y208" s="141"/>
      <c r="Z208" s="35"/>
    </row>
    <row r="209" spans="1:26" ht="14.1" customHeight="1" x14ac:dyDescent="0.25">
      <c r="A209" s="81" t="s">
        <v>150</v>
      </c>
      <c r="B209" s="167" t="s">
        <v>50</v>
      </c>
      <c r="C209" s="687" t="s">
        <v>520</v>
      </c>
      <c r="D209" s="688">
        <v>12</v>
      </c>
      <c r="E209" s="689"/>
      <c r="F209" s="795">
        <f>D209*E209</f>
        <v>0</v>
      </c>
      <c r="G209" s="76">
        <f>F209*C4</f>
        <v>0</v>
      </c>
      <c r="H209" s="239"/>
      <c r="I209" s="239"/>
      <c r="J209" s="239"/>
      <c r="K209" s="239"/>
      <c r="L209" s="239"/>
      <c r="M209" s="239"/>
      <c r="N209" s="239"/>
      <c r="O209" s="239"/>
      <c r="P209" s="239"/>
      <c r="Q209" s="250"/>
      <c r="R209" s="261"/>
      <c r="S209" s="222">
        <f t="shared" si="12"/>
        <v>0</v>
      </c>
      <c r="T209" s="228">
        <f t="shared" si="13"/>
        <v>0</v>
      </c>
      <c r="U209" s="222">
        <f t="shared" si="14"/>
        <v>0</v>
      </c>
      <c r="V209" s="222">
        <f t="shared" si="15"/>
        <v>0</v>
      </c>
      <c r="W209" s="228">
        <f t="shared" si="16"/>
        <v>0</v>
      </c>
      <c r="X209" s="228"/>
      <c r="Y209" s="141"/>
      <c r="Z209" s="35"/>
    </row>
    <row r="210" spans="1:26" ht="14.1" customHeight="1" x14ac:dyDescent="0.25">
      <c r="A210" s="81" t="s">
        <v>151</v>
      </c>
      <c r="B210" s="141" t="s">
        <v>830</v>
      </c>
      <c r="C210" s="687" t="s">
        <v>520</v>
      </c>
      <c r="D210" s="688">
        <v>12</v>
      </c>
      <c r="E210" s="689"/>
      <c r="F210" s="795">
        <f>D210*E210</f>
        <v>0</v>
      </c>
      <c r="G210" s="76">
        <f>F210*C4</f>
        <v>0</v>
      </c>
      <c r="H210" s="239"/>
      <c r="I210" s="239"/>
      <c r="J210" s="239"/>
      <c r="K210" s="239"/>
      <c r="L210" s="239"/>
      <c r="M210" s="239"/>
      <c r="N210" s="239"/>
      <c r="O210" s="239"/>
      <c r="P210" s="239"/>
      <c r="Q210" s="250"/>
      <c r="R210" s="261"/>
      <c r="S210" s="222">
        <f t="shared" si="12"/>
        <v>0</v>
      </c>
      <c r="T210" s="228">
        <f t="shared" si="13"/>
        <v>0</v>
      </c>
      <c r="U210" s="222">
        <f t="shared" si="14"/>
        <v>0</v>
      </c>
      <c r="V210" s="222">
        <f t="shared" si="15"/>
        <v>0</v>
      </c>
      <c r="W210" s="228">
        <f t="shared" si="16"/>
        <v>0</v>
      </c>
      <c r="X210" s="228"/>
      <c r="Y210" s="141"/>
      <c r="Z210" s="35"/>
    </row>
    <row r="211" spans="1:26" ht="14.1" customHeight="1" x14ac:dyDescent="0.25">
      <c r="A211" s="74" t="s">
        <v>8</v>
      </c>
      <c r="B211" s="141"/>
      <c r="C211" s="592"/>
      <c r="D211" s="593"/>
      <c r="E211" s="594"/>
      <c r="F211" s="795"/>
      <c r="G211" s="806"/>
      <c r="H211" s="239"/>
      <c r="I211" s="239"/>
      <c r="J211" s="239"/>
      <c r="K211" s="239"/>
      <c r="L211" s="239"/>
      <c r="M211" s="239"/>
      <c r="N211" s="239"/>
      <c r="O211" s="239"/>
      <c r="P211" s="239"/>
      <c r="Q211" s="250"/>
      <c r="R211" s="256"/>
      <c r="S211" s="222"/>
      <c r="T211" s="228"/>
      <c r="U211" s="222"/>
      <c r="V211" s="222"/>
      <c r="W211" s="228"/>
      <c r="X211" s="228"/>
      <c r="Y211" s="141"/>
      <c r="Z211" s="35"/>
    </row>
    <row r="212" spans="1:26" ht="14.1" customHeight="1" x14ac:dyDescent="0.25">
      <c r="A212" s="81" t="s">
        <v>156</v>
      </c>
      <c r="B212" s="744" t="s">
        <v>187</v>
      </c>
      <c r="C212" s="687" t="s">
        <v>520</v>
      </c>
      <c r="D212" s="688">
        <v>12</v>
      </c>
      <c r="E212" s="689">
        <v>1730</v>
      </c>
      <c r="F212" s="795">
        <f>D212*E212</f>
        <v>20760</v>
      </c>
      <c r="G212" s="123">
        <f>F212*C$4</f>
        <v>29271.599999999999</v>
      </c>
      <c r="H212" s="239"/>
      <c r="I212" s="239"/>
      <c r="J212" s="239"/>
      <c r="K212" s="239"/>
      <c r="L212" s="239"/>
      <c r="M212" s="239"/>
      <c r="N212" s="239"/>
      <c r="O212" s="239"/>
      <c r="P212" s="239"/>
      <c r="Q212" s="250"/>
      <c r="R212" s="261"/>
      <c r="S212" s="222">
        <f t="shared" si="12"/>
        <v>-20760</v>
      </c>
      <c r="T212" s="228">
        <f t="shared" si="13"/>
        <v>-1</v>
      </c>
      <c r="U212" s="222">
        <f t="shared" si="14"/>
        <v>0</v>
      </c>
      <c r="V212" s="222">
        <f t="shared" si="15"/>
        <v>-29271.599999999999</v>
      </c>
      <c r="W212" s="228">
        <f t="shared" si="16"/>
        <v>-1</v>
      </c>
      <c r="X212" s="228"/>
      <c r="Y212" s="141"/>
      <c r="Z212" s="35"/>
    </row>
    <row r="213" spans="1:26" ht="14.1" customHeight="1" x14ac:dyDescent="0.25">
      <c r="A213" s="81" t="s">
        <v>152</v>
      </c>
      <c r="B213" s="744" t="s">
        <v>54</v>
      </c>
      <c r="C213" s="687" t="s">
        <v>520</v>
      </c>
      <c r="D213" s="688">
        <v>1</v>
      </c>
      <c r="E213" s="689">
        <v>1000</v>
      </c>
      <c r="F213" s="795">
        <f>D213*E213</f>
        <v>1000</v>
      </c>
      <c r="G213" s="123">
        <f>F213*C$4</f>
        <v>1410</v>
      </c>
      <c r="H213" s="239"/>
      <c r="I213" s="239"/>
      <c r="J213" s="239"/>
      <c r="K213" s="239"/>
      <c r="L213" s="239"/>
      <c r="M213" s="239"/>
      <c r="N213" s="239"/>
      <c r="O213" s="239"/>
      <c r="P213" s="239"/>
      <c r="Q213" s="250"/>
      <c r="R213" s="261"/>
      <c r="S213" s="222">
        <f t="shared" si="12"/>
        <v>-1000</v>
      </c>
      <c r="T213" s="228">
        <f t="shared" si="13"/>
        <v>-1</v>
      </c>
      <c r="U213" s="222">
        <f t="shared" si="14"/>
        <v>0</v>
      </c>
      <c r="V213" s="222">
        <f t="shared" si="15"/>
        <v>-1410</v>
      </c>
      <c r="W213" s="228">
        <f t="shared" si="16"/>
        <v>-1</v>
      </c>
      <c r="X213" s="228"/>
      <c r="Y213" s="141"/>
      <c r="Z213" s="35"/>
    </row>
    <row r="214" spans="1:26" ht="14.1" customHeight="1" x14ac:dyDescent="0.25">
      <c r="A214" s="81" t="s">
        <v>154</v>
      </c>
      <c r="B214" s="744" t="s">
        <v>131</v>
      </c>
      <c r="C214" s="743" t="s">
        <v>827</v>
      </c>
      <c r="D214" s="688">
        <v>1</v>
      </c>
      <c r="E214" s="745">
        <v>3000</v>
      </c>
      <c r="F214" s="795">
        <f>D214*E214</f>
        <v>3000</v>
      </c>
      <c r="G214" s="123">
        <f>F214*C$4</f>
        <v>4230</v>
      </c>
      <c r="H214" s="239"/>
      <c r="I214" s="239"/>
      <c r="J214" s="239"/>
      <c r="K214" s="239"/>
      <c r="L214" s="239"/>
      <c r="M214" s="239"/>
      <c r="N214" s="239"/>
      <c r="O214" s="239"/>
      <c r="P214" s="239"/>
      <c r="Q214" s="250"/>
      <c r="R214" s="261"/>
      <c r="S214" s="222">
        <f t="shared" si="12"/>
        <v>-3000</v>
      </c>
      <c r="T214" s="228">
        <f t="shared" si="13"/>
        <v>-1</v>
      </c>
      <c r="U214" s="222">
        <f t="shared" si="14"/>
        <v>0</v>
      </c>
      <c r="V214" s="222">
        <f t="shared" si="15"/>
        <v>-4230</v>
      </c>
      <c r="W214" s="228">
        <f t="shared" si="16"/>
        <v>-1</v>
      </c>
      <c r="X214" s="228"/>
      <c r="Y214" s="141"/>
      <c r="Z214" s="35"/>
    </row>
    <row r="215" spans="1:26" ht="14.1" customHeight="1" x14ac:dyDescent="0.25">
      <c r="A215" s="81" t="s">
        <v>155</v>
      </c>
      <c r="B215" s="744" t="s">
        <v>132</v>
      </c>
      <c r="C215" s="743" t="s">
        <v>827</v>
      </c>
      <c r="D215" s="688">
        <v>1</v>
      </c>
      <c r="E215" s="746">
        <v>3000</v>
      </c>
      <c r="F215" s="795">
        <f>D215*E215</f>
        <v>3000</v>
      </c>
      <c r="G215" s="123">
        <f>F215*C$4</f>
        <v>4230</v>
      </c>
      <c r="H215" s="239"/>
      <c r="I215" s="239"/>
      <c r="J215" s="239"/>
      <c r="K215" s="239"/>
      <c r="L215" s="239"/>
      <c r="M215" s="239"/>
      <c r="N215" s="239"/>
      <c r="O215" s="239"/>
      <c r="P215" s="239"/>
      <c r="Q215" s="250"/>
      <c r="R215" s="261"/>
      <c r="S215" s="222">
        <f t="shared" si="12"/>
        <v>-3000</v>
      </c>
      <c r="T215" s="228">
        <f t="shared" si="13"/>
        <v>-1</v>
      </c>
      <c r="U215" s="222">
        <f t="shared" si="14"/>
        <v>0</v>
      </c>
      <c r="V215" s="222">
        <f t="shared" si="15"/>
        <v>-4230</v>
      </c>
      <c r="W215" s="228">
        <f t="shared" si="16"/>
        <v>-1</v>
      </c>
      <c r="X215" s="228"/>
      <c r="Y215" s="141"/>
      <c r="Z215" s="35"/>
    </row>
    <row r="216" spans="1:26" ht="14.1" customHeight="1" x14ac:dyDescent="0.25">
      <c r="A216" s="74"/>
      <c r="B216" s="35"/>
      <c r="C216" s="5"/>
      <c r="D216" s="5"/>
      <c r="E216" s="5"/>
      <c r="F216" s="795"/>
      <c r="G216" s="76"/>
      <c r="H216" s="239"/>
      <c r="I216" s="239"/>
      <c r="J216" s="239"/>
      <c r="K216" s="239"/>
      <c r="L216" s="239"/>
      <c r="M216" s="239"/>
      <c r="N216" s="239"/>
      <c r="O216" s="239"/>
      <c r="P216" s="239"/>
      <c r="Q216" s="250"/>
      <c r="R216" s="256"/>
      <c r="S216" s="222"/>
      <c r="T216" s="228"/>
      <c r="U216" s="222"/>
      <c r="V216" s="222"/>
      <c r="W216" s="228"/>
      <c r="X216" s="228"/>
      <c r="Y216" s="141"/>
      <c r="Z216" s="35"/>
    </row>
    <row r="217" spans="1:26" ht="14.1" customHeight="1" x14ac:dyDescent="0.25">
      <c r="A217" s="203"/>
      <c r="B217" s="204" t="s">
        <v>194</v>
      </c>
      <c r="C217" s="204"/>
      <c r="D217" s="204"/>
      <c r="E217" s="204"/>
      <c r="F217" s="807">
        <f>SUM(F206:F208)</f>
        <v>39216</v>
      </c>
      <c r="G217" s="808">
        <f>SUM(G206:G208)</f>
        <v>55294.559999999998</v>
      </c>
      <c r="H217" s="239"/>
      <c r="I217" s="239"/>
      <c r="J217" s="239"/>
      <c r="K217" s="239"/>
      <c r="L217" s="239"/>
      <c r="M217" s="239"/>
      <c r="N217" s="239"/>
      <c r="O217" s="239"/>
      <c r="P217" s="239"/>
      <c r="Q217" s="250"/>
      <c r="R217" s="256"/>
      <c r="S217" s="222">
        <f t="shared" si="12"/>
        <v>-39216</v>
      </c>
      <c r="T217" s="228">
        <f t="shared" si="13"/>
        <v>-1</v>
      </c>
      <c r="U217" s="222">
        <f t="shared" si="14"/>
        <v>0</v>
      </c>
      <c r="V217" s="222">
        <f t="shared" si="15"/>
        <v>-55294.559999999998</v>
      </c>
      <c r="W217" s="228">
        <f t="shared" si="16"/>
        <v>-1</v>
      </c>
      <c r="X217" s="228"/>
      <c r="Y217" s="141"/>
      <c r="Z217" s="35"/>
    </row>
    <row r="218" spans="1:26" ht="14.1" customHeight="1" x14ac:dyDescent="0.25">
      <c r="A218" s="203"/>
      <c r="B218" s="204" t="s">
        <v>7</v>
      </c>
      <c r="C218" s="204"/>
      <c r="D218" s="204"/>
      <c r="E218" s="204"/>
      <c r="F218" s="807">
        <f>SUM(F209:F211)</f>
        <v>0</v>
      </c>
      <c r="G218" s="808">
        <f>SUM(G209:G211)</f>
        <v>0</v>
      </c>
      <c r="H218" s="239"/>
      <c r="I218" s="239"/>
      <c r="J218" s="239"/>
      <c r="K218" s="239"/>
      <c r="L218" s="239"/>
      <c r="M218" s="239"/>
      <c r="N218" s="239"/>
      <c r="O218" s="239"/>
      <c r="P218" s="239"/>
      <c r="Q218" s="250"/>
      <c r="R218" s="256"/>
      <c r="S218" s="222">
        <f t="shared" si="12"/>
        <v>0</v>
      </c>
      <c r="T218" s="228">
        <f t="shared" si="13"/>
        <v>0</v>
      </c>
      <c r="U218" s="222">
        <f t="shared" si="14"/>
        <v>0</v>
      </c>
      <c r="V218" s="222">
        <f t="shared" si="15"/>
        <v>0</v>
      </c>
      <c r="W218" s="228">
        <f t="shared" si="16"/>
        <v>0</v>
      </c>
      <c r="X218" s="228"/>
      <c r="Y218" s="141"/>
      <c r="Z218" s="35"/>
    </row>
    <row r="219" spans="1:26" ht="14.1" customHeight="1" x14ac:dyDescent="0.25">
      <c r="A219" s="203"/>
      <c r="B219" s="204" t="s">
        <v>8</v>
      </c>
      <c r="C219" s="204"/>
      <c r="D219" s="204"/>
      <c r="E219" s="204"/>
      <c r="F219" s="807">
        <f>SUM(F212:F216)</f>
        <v>27760</v>
      </c>
      <c r="G219" s="808">
        <f>SUM(G212:G216)</f>
        <v>39141.599999999999</v>
      </c>
      <c r="H219" s="239"/>
      <c r="I219" s="239"/>
      <c r="J219" s="239"/>
      <c r="K219" s="239"/>
      <c r="L219" s="239"/>
      <c r="M219" s="239"/>
      <c r="N219" s="239"/>
      <c r="O219" s="239"/>
      <c r="P219" s="239"/>
      <c r="Q219" s="250"/>
      <c r="R219" s="256"/>
      <c r="S219" s="222">
        <f t="shared" si="12"/>
        <v>-27760</v>
      </c>
      <c r="T219" s="228">
        <f t="shared" si="13"/>
        <v>-1</v>
      </c>
      <c r="U219" s="222">
        <f t="shared" si="14"/>
        <v>0</v>
      </c>
      <c r="V219" s="222">
        <f t="shared" si="15"/>
        <v>-39141.599999999999</v>
      </c>
      <c r="W219" s="228">
        <f t="shared" si="16"/>
        <v>-1</v>
      </c>
      <c r="X219" s="228"/>
      <c r="Y219" s="141"/>
      <c r="Z219" s="35"/>
    </row>
    <row r="220" spans="1:26" ht="14.1" customHeight="1" thickBot="1" x14ac:dyDescent="0.3">
      <c r="A220" s="103"/>
      <c r="B220" s="150" t="s">
        <v>115</v>
      </c>
      <c r="C220" s="480"/>
      <c r="D220" s="499"/>
      <c r="E220" s="485"/>
      <c r="F220" s="796">
        <f>F215+F214+F213+F212+F207+F206</f>
        <v>66976</v>
      </c>
      <c r="G220" s="796">
        <f>SUM(G206:G215)</f>
        <v>94436.160000000003</v>
      </c>
      <c r="H220" s="556"/>
      <c r="I220" s="556"/>
      <c r="J220" s="556"/>
      <c r="K220" s="556"/>
      <c r="L220" s="556"/>
      <c r="M220" s="556"/>
      <c r="N220" s="556"/>
      <c r="O220" s="556"/>
      <c r="P220" s="556"/>
      <c r="Q220" s="557"/>
      <c r="R220" s="558"/>
      <c r="S220" s="234">
        <f t="shared" si="12"/>
        <v>-66976</v>
      </c>
      <c r="T220" s="235">
        <f t="shared" si="13"/>
        <v>-1</v>
      </c>
      <c r="U220" s="234">
        <f t="shared" si="14"/>
        <v>0</v>
      </c>
      <c r="V220" s="234">
        <f t="shared" si="15"/>
        <v>-94436.160000000003</v>
      </c>
      <c r="W220" s="235">
        <f t="shared" si="16"/>
        <v>-1</v>
      </c>
      <c r="X220" s="235"/>
      <c r="Y220" s="141"/>
      <c r="Z220" s="35"/>
    </row>
    <row r="221" spans="1:26" ht="14.1" customHeight="1" thickTop="1" x14ac:dyDescent="0.25">
      <c r="A221" s="103"/>
      <c r="B221" s="150"/>
      <c r="C221" s="480"/>
      <c r="D221" s="499"/>
      <c r="E221" s="485"/>
      <c r="F221" s="791"/>
      <c r="G221" s="791"/>
      <c r="H221" s="556"/>
      <c r="I221" s="556"/>
      <c r="J221" s="556"/>
      <c r="K221" s="556"/>
      <c r="L221" s="556"/>
      <c r="M221" s="556"/>
      <c r="N221" s="556"/>
      <c r="O221" s="556"/>
      <c r="P221" s="556"/>
      <c r="Q221" s="557"/>
      <c r="R221" s="601"/>
      <c r="S221" s="222"/>
      <c r="T221" s="228"/>
      <c r="U221" s="222"/>
      <c r="V221" s="222"/>
      <c r="W221" s="228"/>
      <c r="X221" s="228"/>
      <c r="Y221" s="141"/>
      <c r="Z221" s="35"/>
    </row>
    <row r="222" spans="1:26" ht="14.1" customHeight="1" x14ac:dyDescent="0.25">
      <c r="A222" s="129">
        <v>5</v>
      </c>
      <c r="B222" s="130" t="s">
        <v>117</v>
      </c>
      <c r="C222" s="507"/>
      <c r="D222" s="508"/>
      <c r="E222" s="509"/>
      <c r="F222" s="805"/>
      <c r="G222" s="133"/>
      <c r="H222" s="238"/>
      <c r="I222" s="238"/>
      <c r="J222" s="238"/>
      <c r="K222" s="238"/>
      <c r="L222" s="238"/>
      <c r="M222" s="238"/>
      <c r="N222" s="238"/>
      <c r="O222" s="238"/>
      <c r="P222" s="238"/>
      <c r="Q222" s="251"/>
      <c r="R222" s="259"/>
      <c r="S222" s="227"/>
      <c r="T222" s="229"/>
      <c r="U222" s="227"/>
      <c r="V222" s="227"/>
      <c r="W222" s="229"/>
      <c r="X222" s="229"/>
      <c r="Y222" s="141"/>
      <c r="Z222" s="35"/>
    </row>
    <row r="223" spans="1:26" ht="14.1" customHeight="1" x14ac:dyDescent="0.25">
      <c r="A223" s="81" t="s">
        <v>157</v>
      </c>
      <c r="B223" s="167" t="s">
        <v>11</v>
      </c>
      <c r="C223" s="687" t="s">
        <v>831</v>
      </c>
      <c r="D223" s="688">
        <v>10</v>
      </c>
      <c r="E223" s="688">
        <v>500</v>
      </c>
      <c r="F223" s="795">
        <f>D223*E223</f>
        <v>5000</v>
      </c>
      <c r="G223" s="123">
        <f>F223*C$4</f>
        <v>7050</v>
      </c>
      <c r="H223" s="239"/>
      <c r="I223" s="239"/>
      <c r="J223" s="239"/>
      <c r="K223" s="239"/>
      <c r="L223" s="239"/>
      <c r="M223" s="239"/>
      <c r="N223" s="239"/>
      <c r="O223" s="239"/>
      <c r="P223" s="239"/>
      <c r="Q223" s="250"/>
      <c r="R223" s="261"/>
      <c r="S223" s="222">
        <f t="shared" si="12"/>
        <v>-5000</v>
      </c>
      <c r="T223" s="228">
        <f t="shared" si="13"/>
        <v>-1</v>
      </c>
      <c r="U223" s="222">
        <f t="shared" si="14"/>
        <v>0</v>
      </c>
      <c r="V223" s="222">
        <f t="shared" si="15"/>
        <v>-7050</v>
      </c>
      <c r="W223" s="228">
        <f t="shared" si="16"/>
        <v>-1</v>
      </c>
      <c r="X223" s="228"/>
      <c r="Y223" s="141"/>
      <c r="Z223" s="35"/>
    </row>
    <row r="224" spans="1:26" ht="14.1" customHeight="1" x14ac:dyDescent="0.25">
      <c r="A224" s="81" t="s">
        <v>158</v>
      </c>
      <c r="B224" s="167" t="s">
        <v>12</v>
      </c>
      <c r="C224" s="687" t="s">
        <v>831</v>
      </c>
      <c r="D224" s="688">
        <v>1</v>
      </c>
      <c r="E224" s="701">
        <v>250</v>
      </c>
      <c r="F224" s="795">
        <f>D224*E224</f>
        <v>250</v>
      </c>
      <c r="G224" s="123">
        <f>F224*C$4</f>
        <v>352.5</v>
      </c>
      <c r="H224" s="239"/>
      <c r="I224" s="239"/>
      <c r="J224" s="239"/>
      <c r="K224" s="239"/>
      <c r="L224" s="239"/>
      <c r="M224" s="239"/>
      <c r="N224" s="239"/>
      <c r="O224" s="239"/>
      <c r="P224" s="239"/>
      <c r="Q224" s="250"/>
      <c r="R224" s="261"/>
      <c r="S224" s="222">
        <f t="shared" si="12"/>
        <v>-250</v>
      </c>
      <c r="T224" s="228">
        <f t="shared" si="13"/>
        <v>-1</v>
      </c>
      <c r="U224" s="222">
        <f t="shared" si="14"/>
        <v>0</v>
      </c>
      <c r="V224" s="222">
        <f t="shared" si="15"/>
        <v>-352.5</v>
      </c>
      <c r="W224" s="228">
        <f t="shared" si="16"/>
        <v>-1</v>
      </c>
      <c r="X224" s="228"/>
      <c r="Y224" s="141"/>
      <c r="Z224" s="35"/>
    </row>
    <row r="225" spans="1:26" ht="14.1" customHeight="1" x14ac:dyDescent="0.25">
      <c r="A225" s="81" t="s">
        <v>159</v>
      </c>
      <c r="B225" s="167" t="s">
        <v>13</v>
      </c>
      <c r="C225" s="687" t="s">
        <v>577</v>
      </c>
      <c r="D225" s="688">
        <v>1</v>
      </c>
      <c r="E225" s="689">
        <v>1000</v>
      </c>
      <c r="F225" s="795">
        <f>D225*E225</f>
        <v>1000</v>
      </c>
      <c r="G225" s="123">
        <f>F225*C$4</f>
        <v>1410</v>
      </c>
      <c r="H225" s="239"/>
      <c r="I225" s="239"/>
      <c r="J225" s="239"/>
      <c r="K225" s="239"/>
      <c r="L225" s="239"/>
      <c r="M225" s="239"/>
      <c r="N225" s="239"/>
      <c r="O225" s="239"/>
      <c r="P225" s="239"/>
      <c r="Q225" s="250"/>
      <c r="R225" s="261"/>
      <c r="S225" s="222">
        <f t="shared" si="12"/>
        <v>-1000</v>
      </c>
      <c r="T225" s="228">
        <f t="shared" si="13"/>
        <v>-1</v>
      </c>
      <c r="U225" s="222">
        <f t="shared" si="14"/>
        <v>0</v>
      </c>
      <c r="V225" s="222">
        <f t="shared" si="15"/>
        <v>-1410</v>
      </c>
      <c r="W225" s="228">
        <f t="shared" si="16"/>
        <v>-1</v>
      </c>
      <c r="X225" s="228"/>
      <c r="Y225" s="141"/>
      <c r="Z225" s="35"/>
    </row>
    <row r="226" spans="1:26" ht="14.1" customHeight="1" x14ac:dyDescent="0.25">
      <c r="A226" s="81" t="s">
        <v>160</v>
      </c>
      <c r="B226" s="167" t="s">
        <v>14</v>
      </c>
      <c r="C226" s="515"/>
      <c r="D226" s="516"/>
      <c r="E226" s="517"/>
      <c r="F226" s="795">
        <f>D226*E226</f>
        <v>0</v>
      </c>
      <c r="G226" s="123">
        <f>F226*C$4</f>
        <v>0</v>
      </c>
      <c r="H226" s="239"/>
      <c r="I226" s="239"/>
      <c r="J226" s="239"/>
      <c r="K226" s="239"/>
      <c r="L226" s="239"/>
      <c r="M226" s="239"/>
      <c r="N226" s="239"/>
      <c r="O226" s="239"/>
      <c r="P226" s="239"/>
      <c r="Q226" s="250"/>
      <c r="R226" s="261"/>
      <c r="S226" s="222">
        <f t="shared" si="12"/>
        <v>0</v>
      </c>
      <c r="T226" s="228">
        <f t="shared" si="13"/>
        <v>0</v>
      </c>
      <c r="U226" s="222">
        <f t="shared" si="14"/>
        <v>0</v>
      </c>
      <c r="V226" s="222">
        <f t="shared" si="15"/>
        <v>0</v>
      </c>
      <c r="W226" s="228">
        <f t="shared" si="16"/>
        <v>0</v>
      </c>
      <c r="X226" s="228"/>
      <c r="Y226" s="141"/>
      <c r="Z226" s="35"/>
    </row>
    <row r="227" spans="1:26" ht="14.1" customHeight="1" x14ac:dyDescent="0.25">
      <c r="A227" s="81" t="s">
        <v>161</v>
      </c>
      <c r="B227" s="167" t="s">
        <v>60</v>
      </c>
      <c r="C227" s="687" t="s">
        <v>831</v>
      </c>
      <c r="D227" s="688">
        <v>1</v>
      </c>
      <c r="E227" s="689">
        <v>180</v>
      </c>
      <c r="F227" s="795">
        <f>D227*E227</f>
        <v>180</v>
      </c>
      <c r="G227" s="123">
        <f>F227*C$4</f>
        <v>253.79999999999998</v>
      </c>
      <c r="H227" s="239"/>
      <c r="I227" s="239"/>
      <c r="J227" s="239"/>
      <c r="K227" s="239"/>
      <c r="L227" s="239"/>
      <c r="M227" s="239"/>
      <c r="N227" s="239"/>
      <c r="O227" s="239"/>
      <c r="P227" s="239"/>
      <c r="Q227" s="250"/>
      <c r="R227" s="261"/>
      <c r="S227" s="222">
        <f t="shared" si="12"/>
        <v>-180</v>
      </c>
      <c r="T227" s="228">
        <f t="shared" si="13"/>
        <v>-1</v>
      </c>
      <c r="U227" s="222">
        <f t="shared" si="14"/>
        <v>0</v>
      </c>
      <c r="V227" s="222">
        <f t="shared" si="15"/>
        <v>-253.79999999999998</v>
      </c>
      <c r="W227" s="228">
        <f t="shared" si="16"/>
        <v>-1</v>
      </c>
      <c r="X227" s="228"/>
      <c r="Y227" s="141"/>
      <c r="Z227" s="35"/>
    </row>
    <row r="228" spans="1:26" ht="14.1" customHeight="1" x14ac:dyDescent="0.25">
      <c r="A228" s="74"/>
      <c r="B228" s="167"/>
      <c r="C228" s="602"/>
      <c r="D228" s="603"/>
      <c r="E228" s="604"/>
      <c r="F228" s="795"/>
      <c r="G228" s="76"/>
      <c r="H228" s="239"/>
      <c r="I228" s="239"/>
      <c r="J228" s="239"/>
      <c r="K228" s="239"/>
      <c r="L228" s="239"/>
      <c r="M228" s="239"/>
      <c r="N228" s="239"/>
      <c r="O228" s="239"/>
      <c r="P228" s="239"/>
      <c r="Q228" s="250"/>
      <c r="R228" s="256"/>
      <c r="S228" s="222"/>
      <c r="T228" s="228"/>
      <c r="U228" s="222"/>
      <c r="V228" s="222"/>
      <c r="W228" s="228"/>
      <c r="X228" s="228"/>
      <c r="Y228" s="141"/>
      <c r="Z228" s="35"/>
    </row>
    <row r="229" spans="1:26" ht="14.1" customHeight="1" thickBot="1" x14ac:dyDescent="0.3">
      <c r="A229" s="103"/>
      <c r="B229" s="150" t="s">
        <v>118</v>
      </c>
      <c r="C229" s="480"/>
      <c r="D229" s="499"/>
      <c r="E229" s="485"/>
      <c r="F229" s="796">
        <f>F227+F225+F224+F223</f>
        <v>6430</v>
      </c>
      <c r="G229" s="796">
        <f>SUM(G223:G227)</f>
        <v>9066.2999999999993</v>
      </c>
      <c r="H229" s="556"/>
      <c r="I229" s="556"/>
      <c r="J229" s="556"/>
      <c r="K229" s="556"/>
      <c r="L229" s="556"/>
      <c r="M229" s="556"/>
      <c r="N229" s="556"/>
      <c r="O229" s="556"/>
      <c r="P229" s="556"/>
      <c r="Q229" s="557"/>
      <c r="R229" s="558"/>
      <c r="S229" s="234">
        <f t="shared" si="12"/>
        <v>-6430</v>
      </c>
      <c r="T229" s="235">
        <f t="shared" si="13"/>
        <v>-1</v>
      </c>
      <c r="U229" s="234">
        <f t="shared" si="14"/>
        <v>0</v>
      </c>
      <c r="V229" s="234">
        <f t="shared" si="15"/>
        <v>-9066.2999999999993</v>
      </c>
      <c r="W229" s="235">
        <f t="shared" si="16"/>
        <v>-1</v>
      </c>
      <c r="X229" s="235"/>
      <c r="Y229" s="141"/>
      <c r="Z229" s="35"/>
    </row>
    <row r="230" spans="1:26" ht="14.1" customHeight="1" thickTop="1" x14ac:dyDescent="0.25">
      <c r="A230" s="74"/>
      <c r="B230" s="167"/>
      <c r="C230" s="443"/>
      <c r="D230" s="444"/>
      <c r="E230" s="445"/>
      <c r="F230" s="795"/>
      <c r="G230" s="76"/>
      <c r="H230" s="239"/>
      <c r="I230" s="239"/>
      <c r="J230" s="239"/>
      <c r="K230" s="239"/>
      <c r="L230" s="239"/>
      <c r="M230" s="239"/>
      <c r="N230" s="239"/>
      <c r="O230" s="239"/>
      <c r="P230" s="239"/>
      <c r="Q230" s="250"/>
      <c r="R230" s="256"/>
      <c r="S230" s="222"/>
      <c r="T230" s="228"/>
      <c r="U230" s="222"/>
      <c r="V230" s="222"/>
      <c r="W230" s="228"/>
      <c r="X230" s="228"/>
      <c r="Y230" s="141"/>
      <c r="Z230" s="35"/>
    </row>
    <row r="231" spans="1:26" ht="14.1" customHeight="1" x14ac:dyDescent="0.25">
      <c r="A231" s="129">
        <v>6</v>
      </c>
      <c r="B231" s="130" t="s">
        <v>119</v>
      </c>
      <c r="C231" s="507"/>
      <c r="D231" s="508"/>
      <c r="E231" s="509"/>
      <c r="F231" s="805"/>
      <c r="G231" s="133"/>
      <c r="H231" s="238"/>
      <c r="I231" s="238"/>
      <c r="J231" s="238"/>
      <c r="K231" s="238"/>
      <c r="L231" s="238"/>
      <c r="M231" s="238"/>
      <c r="N231" s="238"/>
      <c r="O231" s="238"/>
      <c r="P231" s="238"/>
      <c r="Q231" s="251"/>
      <c r="R231" s="259"/>
      <c r="S231" s="227"/>
      <c r="T231" s="229"/>
      <c r="U231" s="227"/>
      <c r="V231" s="227"/>
      <c r="W231" s="229"/>
      <c r="X231" s="229"/>
      <c r="Y231" s="141"/>
      <c r="Z231" s="35"/>
    </row>
    <row r="232" spans="1:26" ht="14.1" customHeight="1" x14ac:dyDescent="0.25">
      <c r="A232" s="103" t="s">
        <v>120</v>
      </c>
      <c r="B232" s="103" t="s">
        <v>77</v>
      </c>
      <c r="C232" s="644"/>
      <c r="D232" s="655"/>
      <c r="E232" s="656"/>
      <c r="F232" s="139"/>
      <c r="G232" s="126"/>
      <c r="H232" s="239"/>
      <c r="I232" s="239"/>
      <c r="J232" s="239"/>
      <c r="K232" s="239"/>
      <c r="L232" s="239"/>
      <c r="M232" s="239"/>
      <c r="N232" s="239"/>
      <c r="O232" s="239"/>
      <c r="P232" s="239"/>
      <c r="Q232" s="250"/>
      <c r="R232" s="255"/>
      <c r="S232" s="222"/>
      <c r="T232" s="228"/>
      <c r="U232" s="222"/>
      <c r="V232" s="222"/>
      <c r="W232" s="228"/>
      <c r="X232" s="228"/>
      <c r="Y232" s="141"/>
      <c r="Z232" s="35"/>
    </row>
    <row r="233" spans="1:26" ht="14.1" customHeight="1" x14ac:dyDescent="0.25">
      <c r="A233" s="113" t="s">
        <v>121</v>
      </c>
      <c r="B233" s="174" t="s">
        <v>78</v>
      </c>
      <c r="C233" s="515"/>
      <c r="D233" s="516"/>
      <c r="E233" s="517"/>
      <c r="F233" s="139">
        <f>D233*E233</f>
        <v>0</v>
      </c>
      <c r="G233" s="126">
        <f>F233*C4</f>
        <v>0</v>
      </c>
      <c r="H233" s="239"/>
      <c r="I233" s="239"/>
      <c r="J233" s="239"/>
      <c r="K233" s="239"/>
      <c r="L233" s="239"/>
      <c r="M233" s="239"/>
      <c r="N233" s="239"/>
      <c r="O233" s="239"/>
      <c r="P233" s="239"/>
      <c r="Q233" s="250"/>
      <c r="R233" s="261"/>
      <c r="S233" s="222">
        <f t="shared" si="12"/>
        <v>0</v>
      </c>
      <c r="T233" s="228">
        <f t="shared" si="13"/>
        <v>0</v>
      </c>
      <c r="U233" s="222">
        <f t="shared" si="14"/>
        <v>0</v>
      </c>
      <c r="V233" s="222">
        <f t="shared" si="15"/>
        <v>0</v>
      </c>
      <c r="W233" s="228">
        <f t="shared" si="16"/>
        <v>0</v>
      </c>
      <c r="X233" s="228"/>
      <c r="Y233" s="141"/>
      <c r="Z233" s="35"/>
    </row>
    <row r="234" spans="1:26" ht="14.1" customHeight="1" x14ac:dyDescent="0.25">
      <c r="A234" s="113" t="s">
        <v>122</v>
      </c>
      <c r="B234" s="174" t="s">
        <v>79</v>
      </c>
      <c r="C234" s="515"/>
      <c r="D234" s="516"/>
      <c r="E234" s="517"/>
      <c r="F234" s="139">
        <f>D234*E234</f>
        <v>0</v>
      </c>
      <c r="G234" s="126">
        <f>F234*C4</f>
        <v>0</v>
      </c>
      <c r="H234" s="239"/>
      <c r="I234" s="239"/>
      <c r="J234" s="239"/>
      <c r="K234" s="239"/>
      <c r="L234" s="239"/>
      <c r="M234" s="239"/>
      <c r="N234" s="239"/>
      <c r="O234" s="239"/>
      <c r="P234" s="239"/>
      <c r="Q234" s="250"/>
      <c r="R234" s="261"/>
      <c r="S234" s="222">
        <f t="shared" si="12"/>
        <v>0</v>
      </c>
      <c r="T234" s="228">
        <f t="shared" si="13"/>
        <v>0</v>
      </c>
      <c r="U234" s="222">
        <f t="shared" si="14"/>
        <v>0</v>
      </c>
      <c r="V234" s="222">
        <f t="shared" si="15"/>
        <v>0</v>
      </c>
      <c r="W234" s="228">
        <f t="shared" si="16"/>
        <v>0</v>
      </c>
      <c r="X234" s="228"/>
      <c r="Y234" s="141"/>
      <c r="Z234" s="35"/>
    </row>
    <row r="235" spans="1:26" ht="14.1" customHeight="1" x14ac:dyDescent="0.25">
      <c r="A235" s="113" t="s">
        <v>123</v>
      </c>
      <c r="B235" s="174" t="s">
        <v>80</v>
      </c>
      <c r="C235" s="687" t="s">
        <v>577</v>
      </c>
      <c r="D235" s="688">
        <v>1</v>
      </c>
      <c r="E235" s="689">
        <v>2000</v>
      </c>
      <c r="F235" s="139">
        <f>D235*E235</f>
        <v>2000</v>
      </c>
      <c r="G235" s="123">
        <f>F235*C$4</f>
        <v>2820</v>
      </c>
      <c r="H235" s="239"/>
      <c r="I235" s="239"/>
      <c r="J235" s="239"/>
      <c r="K235" s="239"/>
      <c r="L235" s="239"/>
      <c r="M235" s="239"/>
      <c r="N235" s="239"/>
      <c r="O235" s="239"/>
      <c r="P235" s="239"/>
      <c r="Q235" s="250"/>
      <c r="R235" s="261"/>
      <c r="S235" s="222">
        <f t="shared" si="12"/>
        <v>-2000</v>
      </c>
      <c r="T235" s="228">
        <f t="shared" si="13"/>
        <v>-1</v>
      </c>
      <c r="U235" s="222">
        <f t="shared" si="14"/>
        <v>0</v>
      </c>
      <c r="V235" s="222">
        <f t="shared" si="15"/>
        <v>-2820</v>
      </c>
      <c r="W235" s="228">
        <f t="shared" si="16"/>
        <v>-1</v>
      </c>
      <c r="X235" s="228"/>
      <c r="Y235" s="141"/>
      <c r="Z235" s="35"/>
    </row>
    <row r="236" spans="1:26" ht="14.1" customHeight="1" x14ac:dyDescent="0.25">
      <c r="A236" s="103"/>
      <c r="B236" s="174"/>
      <c r="C236" s="651"/>
      <c r="D236" s="652"/>
      <c r="E236" s="653"/>
      <c r="F236" s="139"/>
      <c r="G236" s="126"/>
      <c r="H236" s="239"/>
      <c r="I236" s="239"/>
      <c r="J236" s="239"/>
      <c r="K236" s="239"/>
      <c r="L236" s="239"/>
      <c r="M236" s="239"/>
      <c r="N236" s="239"/>
      <c r="O236" s="239"/>
      <c r="P236" s="239"/>
      <c r="Q236" s="250"/>
      <c r="R236" s="255"/>
      <c r="S236" s="222"/>
      <c r="T236" s="228"/>
      <c r="U236" s="222"/>
      <c r="V236" s="222"/>
      <c r="W236" s="228"/>
      <c r="X236" s="228"/>
      <c r="Y236" s="141"/>
      <c r="Z236" s="35"/>
    </row>
    <row r="237" spans="1:26" ht="14.1" customHeight="1" thickBot="1" x14ac:dyDescent="0.3">
      <c r="A237" s="103"/>
      <c r="B237" s="150" t="s">
        <v>82</v>
      </c>
      <c r="C237" s="644"/>
      <c r="D237" s="655"/>
      <c r="E237" s="656"/>
      <c r="F237" s="796">
        <f>F235</f>
        <v>2000</v>
      </c>
      <c r="G237" s="796">
        <f>SUM(G233:G235)</f>
        <v>2820</v>
      </c>
      <c r="H237" s="556"/>
      <c r="I237" s="556"/>
      <c r="J237" s="556"/>
      <c r="K237" s="556"/>
      <c r="L237" s="556"/>
      <c r="M237" s="556"/>
      <c r="N237" s="556"/>
      <c r="O237" s="556"/>
      <c r="P237" s="556"/>
      <c r="Q237" s="557"/>
      <c r="R237" s="558"/>
      <c r="S237" s="234">
        <f t="shared" ref="S237:S273" si="19">R237-F237</f>
        <v>-2000</v>
      </c>
      <c r="T237" s="235">
        <f t="shared" ref="T237:T273" si="20">IF(F237=0,0,S237/F237)</f>
        <v>-1</v>
      </c>
      <c r="U237" s="234">
        <f t="shared" ref="U237:U273" si="21">R237*$C$4</f>
        <v>0</v>
      </c>
      <c r="V237" s="234">
        <f t="shared" ref="V237:V273" si="22">U237-G237</f>
        <v>-2820</v>
      </c>
      <c r="W237" s="235">
        <f t="shared" ref="W237:W273" si="23">IF(G237=0,0,V237/G237)</f>
        <v>-1</v>
      </c>
      <c r="X237" s="235"/>
      <c r="Y237" s="141"/>
      <c r="Z237" s="35"/>
    </row>
    <row r="238" spans="1:26" ht="14.1" customHeight="1" thickTop="1" x14ac:dyDescent="0.25">
      <c r="A238" s="74"/>
      <c r="B238" s="178"/>
      <c r="C238" s="443"/>
      <c r="D238" s="444"/>
      <c r="E238" s="445"/>
      <c r="F238" s="809"/>
      <c r="G238" s="76"/>
      <c r="H238" s="239"/>
      <c r="I238" s="239"/>
      <c r="J238" s="239"/>
      <c r="K238" s="239"/>
      <c r="L238" s="239"/>
      <c r="M238" s="239"/>
      <c r="N238" s="239"/>
      <c r="O238" s="239"/>
      <c r="P238" s="239"/>
      <c r="Q238" s="250"/>
      <c r="R238" s="256"/>
      <c r="S238" s="222"/>
      <c r="T238" s="228"/>
      <c r="U238" s="222"/>
      <c r="V238" s="222"/>
      <c r="W238" s="228"/>
      <c r="X238" s="228"/>
      <c r="Y238" s="779"/>
      <c r="Z238" s="35"/>
    </row>
    <row r="239" spans="1:26" ht="14.1" customHeight="1" x14ac:dyDescent="0.25">
      <c r="A239" s="103" t="s">
        <v>125</v>
      </c>
      <c r="B239" s="103" t="s">
        <v>198</v>
      </c>
      <c r="C239" s="644"/>
      <c r="D239" s="655"/>
      <c r="E239" s="656"/>
      <c r="F239" s="139"/>
      <c r="G239" s="126"/>
      <c r="H239" s="239"/>
      <c r="I239" s="239"/>
      <c r="J239" s="239"/>
      <c r="K239" s="239"/>
      <c r="L239" s="239"/>
      <c r="M239" s="239"/>
      <c r="N239" s="239"/>
      <c r="O239" s="239"/>
      <c r="P239" s="239"/>
      <c r="Q239" s="250"/>
      <c r="R239" s="255"/>
      <c r="S239" s="222"/>
      <c r="T239" s="228"/>
      <c r="U239" s="222"/>
      <c r="V239" s="222"/>
      <c r="W239" s="228"/>
      <c r="X239" s="228"/>
      <c r="Y239" s="779"/>
      <c r="Z239" s="35"/>
    </row>
    <row r="240" spans="1:26" ht="14.1" customHeight="1" x14ac:dyDescent="0.25">
      <c r="A240" s="113" t="s">
        <v>126</v>
      </c>
      <c r="B240" s="174" t="s">
        <v>135</v>
      </c>
      <c r="C240" s="688" t="s">
        <v>320</v>
      </c>
      <c r="D240" s="688">
        <v>4</v>
      </c>
      <c r="E240" s="688">
        <v>800</v>
      </c>
      <c r="F240" s="139">
        <f>D240*E240</f>
        <v>3200</v>
      </c>
      <c r="G240" s="123">
        <f>F240*C$4</f>
        <v>4512</v>
      </c>
      <c r="H240" s="239"/>
      <c r="I240" s="239"/>
      <c r="J240" s="239"/>
      <c r="K240" s="239"/>
      <c r="L240" s="239"/>
      <c r="M240" s="239"/>
      <c r="N240" s="239"/>
      <c r="O240" s="239"/>
      <c r="P240" s="239"/>
      <c r="Q240" s="250"/>
      <c r="R240" s="261"/>
      <c r="S240" s="222">
        <f t="shared" si="19"/>
        <v>-3200</v>
      </c>
      <c r="T240" s="228">
        <f t="shared" si="20"/>
        <v>-1</v>
      </c>
      <c r="U240" s="222">
        <f t="shared" si="21"/>
        <v>0</v>
      </c>
      <c r="V240" s="222">
        <f t="shared" si="22"/>
        <v>-4512</v>
      </c>
      <c r="W240" s="228">
        <f t="shared" si="23"/>
        <v>-1</v>
      </c>
      <c r="X240" s="228"/>
      <c r="Y240" s="779"/>
      <c r="Z240" s="35"/>
    </row>
    <row r="241" spans="1:26" ht="14.1" customHeight="1" x14ac:dyDescent="0.25">
      <c r="A241" s="113" t="s">
        <v>127</v>
      </c>
      <c r="B241" s="174" t="s">
        <v>136</v>
      </c>
      <c r="C241" s="833" t="s">
        <v>938</v>
      </c>
      <c r="D241" s="688">
        <v>1</v>
      </c>
      <c r="E241" s="688">
        <v>2000</v>
      </c>
      <c r="F241" s="139">
        <f>D241*E241</f>
        <v>2000</v>
      </c>
      <c r="G241" s="123">
        <f>F241*C$4</f>
        <v>2820</v>
      </c>
      <c r="H241" s="239"/>
      <c r="I241" s="239"/>
      <c r="J241" s="239"/>
      <c r="K241" s="239"/>
      <c r="L241" s="239"/>
      <c r="M241" s="239"/>
      <c r="N241" s="239"/>
      <c r="O241" s="239"/>
      <c r="P241" s="239"/>
      <c r="Q241" s="250"/>
      <c r="R241" s="261"/>
      <c r="S241" s="222">
        <f t="shared" si="19"/>
        <v>-2000</v>
      </c>
      <c r="T241" s="228">
        <f t="shared" si="20"/>
        <v>-1</v>
      </c>
      <c r="U241" s="222">
        <f t="shared" si="21"/>
        <v>0</v>
      </c>
      <c r="V241" s="222">
        <f t="shared" si="22"/>
        <v>-2820</v>
      </c>
      <c r="W241" s="228">
        <f t="shared" si="23"/>
        <v>-1</v>
      </c>
      <c r="X241" s="228"/>
      <c r="Y241" s="779"/>
      <c r="Z241" s="35"/>
    </row>
    <row r="242" spans="1:26" ht="14.1" customHeight="1" x14ac:dyDescent="0.25">
      <c r="A242" s="113" t="s">
        <v>128</v>
      </c>
      <c r="B242" s="174" t="s">
        <v>134</v>
      </c>
      <c r="C242" s="688"/>
      <c r="D242" s="688"/>
      <c r="E242" s="688"/>
      <c r="F242" s="139">
        <f>D242*E242</f>
        <v>0</v>
      </c>
      <c r="G242" s="123">
        <f>F242*C$4</f>
        <v>0</v>
      </c>
      <c r="H242" s="239"/>
      <c r="I242" s="239"/>
      <c r="J242" s="239"/>
      <c r="K242" s="239"/>
      <c r="L242" s="239"/>
      <c r="M242" s="239"/>
      <c r="N242" s="239"/>
      <c r="O242" s="239"/>
      <c r="P242" s="239"/>
      <c r="Q242" s="250"/>
      <c r="R242" s="261"/>
      <c r="S242" s="222">
        <f t="shared" si="19"/>
        <v>0</v>
      </c>
      <c r="T242" s="228">
        <f t="shared" si="20"/>
        <v>0</v>
      </c>
      <c r="U242" s="222">
        <f t="shared" si="21"/>
        <v>0</v>
      </c>
      <c r="V242" s="222">
        <f t="shared" si="22"/>
        <v>0</v>
      </c>
      <c r="W242" s="228">
        <f t="shared" si="23"/>
        <v>0</v>
      </c>
      <c r="X242" s="228"/>
      <c r="Y242" s="779"/>
      <c r="Z242" s="35"/>
    </row>
    <row r="243" spans="1:26" ht="14.1" customHeight="1" x14ac:dyDescent="0.25">
      <c r="A243" s="113" t="s">
        <v>129</v>
      </c>
      <c r="B243" s="174" t="s">
        <v>833</v>
      </c>
      <c r="C243" s="700" t="s">
        <v>832</v>
      </c>
      <c r="D243" s="700">
        <v>1</v>
      </c>
      <c r="E243" s="700">
        <v>5000</v>
      </c>
      <c r="F243" s="139">
        <f>D243*E243</f>
        <v>5000</v>
      </c>
      <c r="G243" s="123">
        <f>F243*C$4</f>
        <v>7050</v>
      </c>
      <c r="H243" s="239"/>
      <c r="I243" s="239"/>
      <c r="J243" s="239"/>
      <c r="K243" s="239"/>
      <c r="L243" s="239"/>
      <c r="M243" s="239"/>
      <c r="N243" s="239"/>
      <c r="O243" s="239"/>
      <c r="P243" s="239"/>
      <c r="Q243" s="250"/>
      <c r="R243" s="261"/>
      <c r="S243" s="222">
        <f t="shared" si="19"/>
        <v>-5000</v>
      </c>
      <c r="T243" s="228">
        <f t="shared" si="20"/>
        <v>-1</v>
      </c>
      <c r="U243" s="222">
        <f t="shared" si="21"/>
        <v>0</v>
      </c>
      <c r="V243" s="222">
        <f t="shared" si="22"/>
        <v>-7050</v>
      </c>
      <c r="W243" s="228">
        <f t="shared" si="23"/>
        <v>-1</v>
      </c>
      <c r="X243" s="228"/>
      <c r="Y243" s="779"/>
      <c r="Z243" s="35"/>
    </row>
    <row r="244" spans="1:26" ht="14.1" customHeight="1" x14ac:dyDescent="0.25">
      <c r="A244" s="825" t="s">
        <v>319</v>
      </c>
      <c r="B244" s="824" t="s">
        <v>936</v>
      </c>
      <c r="C244" s="833" t="s">
        <v>937</v>
      </c>
      <c r="D244" s="688">
        <v>1</v>
      </c>
      <c r="E244" s="688">
        <v>2000</v>
      </c>
      <c r="F244" s="139">
        <f>D244*E244</f>
        <v>2000</v>
      </c>
      <c r="G244" s="123">
        <f>F244*C$4</f>
        <v>2820</v>
      </c>
      <c r="H244" s="239"/>
      <c r="I244" s="239"/>
      <c r="J244" s="239"/>
      <c r="K244" s="239"/>
      <c r="L244" s="239"/>
      <c r="M244" s="239"/>
      <c r="N244" s="239"/>
      <c r="O244" s="239"/>
      <c r="P244" s="239"/>
      <c r="Q244" s="250"/>
      <c r="R244" s="261"/>
      <c r="S244" s="222"/>
      <c r="T244" s="228"/>
      <c r="U244" s="222"/>
      <c r="V244" s="222"/>
      <c r="W244" s="228"/>
      <c r="X244" s="228"/>
      <c r="Y244" s="779"/>
      <c r="Z244" s="35"/>
    </row>
    <row r="245" spans="1:26" ht="14.1" customHeight="1" x14ac:dyDescent="0.25">
      <c r="A245" s="113"/>
      <c r="B245" s="174"/>
      <c r="C245" s="445"/>
      <c r="D245" s="445"/>
      <c r="E245" s="445"/>
      <c r="F245" s="139"/>
      <c r="G245" s="126"/>
      <c r="H245" s="239"/>
      <c r="I245" s="239"/>
      <c r="J245" s="239"/>
      <c r="K245" s="239"/>
      <c r="L245" s="239"/>
      <c r="M245" s="239"/>
      <c r="N245" s="239"/>
      <c r="O245" s="239"/>
      <c r="P245" s="239"/>
      <c r="Q245" s="250"/>
      <c r="R245" s="255"/>
      <c r="S245" s="222"/>
      <c r="T245" s="228"/>
      <c r="U245" s="222"/>
      <c r="V245" s="222"/>
      <c r="W245" s="228"/>
      <c r="X245" s="228"/>
      <c r="Y245" s="779"/>
      <c r="Z245" s="35"/>
    </row>
    <row r="246" spans="1:26" ht="14.1" customHeight="1" thickBot="1" x14ac:dyDescent="0.3">
      <c r="A246" s="103"/>
      <c r="B246" s="150" t="s">
        <v>199</v>
      </c>
      <c r="C246" s="445"/>
      <c r="D246" s="445"/>
      <c r="E246" s="445"/>
      <c r="F246" s="796">
        <f>SUM(F240:F244)</f>
        <v>12200</v>
      </c>
      <c r="G246" s="796">
        <f>SUM(G240:G244)</f>
        <v>17202</v>
      </c>
      <c r="H246" s="556"/>
      <c r="I246" s="556"/>
      <c r="J246" s="556"/>
      <c r="K246" s="556"/>
      <c r="L246" s="556"/>
      <c r="M246" s="556"/>
      <c r="N246" s="556"/>
      <c r="O246" s="556"/>
      <c r="P246" s="556"/>
      <c r="Q246" s="557"/>
      <c r="R246" s="558"/>
      <c r="S246" s="234">
        <f t="shared" si="19"/>
        <v>-12200</v>
      </c>
      <c r="T246" s="235">
        <f t="shared" si="20"/>
        <v>-1</v>
      </c>
      <c r="U246" s="234">
        <f t="shared" si="21"/>
        <v>0</v>
      </c>
      <c r="V246" s="234">
        <f t="shared" si="22"/>
        <v>-17202</v>
      </c>
      <c r="W246" s="235">
        <f t="shared" si="23"/>
        <v>-1</v>
      </c>
      <c r="X246" s="235"/>
      <c r="Y246" s="141"/>
      <c r="Z246" s="35"/>
    </row>
    <row r="247" spans="1:26" ht="14.1" customHeight="1" thickTop="1" x14ac:dyDescent="0.25">
      <c r="A247" s="74"/>
      <c r="B247" s="178"/>
      <c r="C247" s="443"/>
      <c r="D247" s="444"/>
      <c r="E247" s="445"/>
      <c r="F247" s="809"/>
      <c r="G247" s="76"/>
      <c r="H247" s="239"/>
      <c r="I247" s="239"/>
      <c r="J247" s="239"/>
      <c r="K247" s="239"/>
      <c r="L247" s="239"/>
      <c r="M247" s="239"/>
      <c r="N247" s="239"/>
      <c r="O247" s="239"/>
      <c r="P247" s="239"/>
      <c r="Q247" s="250"/>
      <c r="R247" s="256"/>
      <c r="S247" s="222"/>
      <c r="T247" s="228"/>
      <c r="U247" s="222"/>
      <c r="V247" s="222"/>
      <c r="W247" s="228"/>
      <c r="X247" s="228"/>
      <c r="Y247" s="141"/>
      <c r="Z247" s="35"/>
    </row>
    <row r="248" spans="1:26" ht="14.1" customHeight="1" x14ac:dyDescent="0.25">
      <c r="A248" s="103" t="s">
        <v>163</v>
      </c>
      <c r="B248" s="103" t="s">
        <v>162</v>
      </c>
      <c r="C248" s="644"/>
      <c r="D248" s="655"/>
      <c r="E248" s="656"/>
      <c r="F248" s="139"/>
      <c r="G248" s="126"/>
      <c r="H248" s="239"/>
      <c r="I248" s="239"/>
      <c r="J248" s="239"/>
      <c r="K248" s="239"/>
      <c r="L248" s="239"/>
      <c r="M248" s="239"/>
      <c r="N248" s="239"/>
      <c r="O248" s="239"/>
      <c r="P248" s="239"/>
      <c r="Q248" s="250"/>
      <c r="R248" s="255"/>
      <c r="S248" s="222"/>
      <c r="T248" s="228"/>
      <c r="U248" s="222"/>
      <c r="V248" s="222"/>
      <c r="W248" s="228"/>
      <c r="X248" s="228"/>
      <c r="Y248" s="141"/>
      <c r="Z248" s="35"/>
    </row>
    <row r="249" spans="1:26" ht="14.1" customHeight="1" x14ac:dyDescent="0.25">
      <c r="A249" s="113" t="s">
        <v>168</v>
      </c>
      <c r="B249" s="174" t="s">
        <v>307</v>
      </c>
      <c r="C249" s="687" t="s">
        <v>834</v>
      </c>
      <c r="D249" s="688">
        <v>1</v>
      </c>
      <c r="E249" s="689">
        <v>1000</v>
      </c>
      <c r="F249" s="139">
        <f>D249*E249</f>
        <v>1000</v>
      </c>
      <c r="G249" s="123">
        <f>F249*C$4</f>
        <v>1410</v>
      </c>
      <c r="H249" s="239"/>
      <c r="I249" s="239"/>
      <c r="J249" s="239"/>
      <c r="K249" s="239"/>
      <c r="L249" s="239"/>
      <c r="M249" s="239"/>
      <c r="N249" s="239"/>
      <c r="O249" s="239"/>
      <c r="P249" s="239"/>
      <c r="Q249" s="250"/>
      <c r="R249" s="261"/>
      <c r="S249" s="222">
        <f t="shared" si="19"/>
        <v>-1000</v>
      </c>
      <c r="T249" s="228">
        <f t="shared" si="20"/>
        <v>-1</v>
      </c>
      <c r="U249" s="222">
        <f t="shared" si="21"/>
        <v>0</v>
      </c>
      <c r="V249" s="222">
        <f t="shared" si="22"/>
        <v>-1410</v>
      </c>
      <c r="W249" s="228">
        <f t="shared" si="23"/>
        <v>-1</v>
      </c>
      <c r="X249" s="228"/>
      <c r="Y249" s="141"/>
      <c r="Z249" s="35"/>
    </row>
    <row r="250" spans="1:26" ht="14.1" customHeight="1" x14ac:dyDescent="0.25">
      <c r="A250" s="113" t="s">
        <v>169</v>
      </c>
      <c r="B250" s="174" t="s">
        <v>165</v>
      </c>
      <c r="C250" s="515"/>
      <c r="D250" s="516"/>
      <c r="E250" s="517"/>
      <c r="F250" s="139">
        <f>D250*E250</f>
        <v>0</v>
      </c>
      <c r="G250" s="126">
        <f>F250*C4</f>
        <v>0</v>
      </c>
      <c r="H250" s="239"/>
      <c r="I250" s="239"/>
      <c r="J250" s="239"/>
      <c r="K250" s="239"/>
      <c r="L250" s="239"/>
      <c r="M250" s="239"/>
      <c r="N250" s="239"/>
      <c r="O250" s="239"/>
      <c r="P250" s="239"/>
      <c r="Q250" s="250"/>
      <c r="R250" s="261"/>
      <c r="S250" s="222">
        <f t="shared" si="19"/>
        <v>0</v>
      </c>
      <c r="T250" s="228">
        <f t="shared" si="20"/>
        <v>0</v>
      </c>
      <c r="U250" s="222">
        <f t="shared" si="21"/>
        <v>0</v>
      </c>
      <c r="V250" s="222">
        <f t="shared" si="22"/>
        <v>0</v>
      </c>
      <c r="W250" s="228">
        <f t="shared" si="23"/>
        <v>0</v>
      </c>
      <c r="X250" s="228"/>
      <c r="Y250" s="141"/>
      <c r="Z250" s="35"/>
    </row>
    <row r="251" spans="1:26" ht="14.1" customHeight="1" x14ac:dyDescent="0.25">
      <c r="A251" s="113" t="s">
        <v>170</v>
      </c>
      <c r="B251" s="174" t="s">
        <v>166</v>
      </c>
      <c r="C251" s="515"/>
      <c r="D251" s="516"/>
      <c r="E251" s="517"/>
      <c r="F251" s="139">
        <f>D251*E251</f>
        <v>0</v>
      </c>
      <c r="G251" s="126">
        <f>F251*C4</f>
        <v>0</v>
      </c>
      <c r="H251" s="239"/>
      <c r="I251" s="239"/>
      <c r="J251" s="239"/>
      <c r="K251" s="239"/>
      <c r="L251" s="239"/>
      <c r="M251" s="239"/>
      <c r="N251" s="239"/>
      <c r="O251" s="239"/>
      <c r="P251" s="239"/>
      <c r="Q251" s="250"/>
      <c r="R251" s="261"/>
      <c r="S251" s="222">
        <f t="shared" si="19"/>
        <v>0</v>
      </c>
      <c r="T251" s="228">
        <f t="shared" si="20"/>
        <v>0</v>
      </c>
      <c r="U251" s="222">
        <f t="shared" si="21"/>
        <v>0</v>
      </c>
      <c r="V251" s="222">
        <f t="shared" si="22"/>
        <v>0</v>
      </c>
      <c r="W251" s="228">
        <f t="shared" si="23"/>
        <v>0</v>
      </c>
      <c r="X251" s="228"/>
      <c r="Y251" s="141"/>
      <c r="Z251" s="35"/>
    </row>
    <row r="252" spans="1:26" ht="14.1" customHeight="1" x14ac:dyDescent="0.25">
      <c r="A252" s="103"/>
      <c r="B252" s="174"/>
      <c r="C252" s="651"/>
      <c r="D252" s="652"/>
      <c r="E252" s="653"/>
      <c r="F252" s="139"/>
      <c r="G252" s="126"/>
      <c r="H252" s="239"/>
      <c r="I252" s="239"/>
      <c r="J252" s="239"/>
      <c r="K252" s="239"/>
      <c r="L252" s="239"/>
      <c r="M252" s="239"/>
      <c r="N252" s="239"/>
      <c r="O252" s="239"/>
      <c r="P252" s="239"/>
      <c r="Q252" s="250"/>
      <c r="R252" s="255"/>
      <c r="S252" s="234"/>
      <c r="T252" s="235"/>
      <c r="U252" s="234"/>
      <c r="V252" s="234"/>
      <c r="W252" s="235"/>
      <c r="X252" s="235"/>
      <c r="Y252" s="141"/>
      <c r="Z252" s="35"/>
    </row>
    <row r="253" spans="1:26" ht="14.1" customHeight="1" thickBot="1" x14ac:dyDescent="0.3">
      <c r="A253" s="103"/>
      <c r="B253" s="150" t="s">
        <v>167</v>
      </c>
      <c r="C253" s="644"/>
      <c r="D253" s="655"/>
      <c r="E253" s="656"/>
      <c r="F253" s="796">
        <f>F249</f>
        <v>1000</v>
      </c>
      <c r="G253" s="796">
        <f>SUM(G249:G251)</f>
        <v>1410</v>
      </c>
      <c r="H253" s="556"/>
      <c r="I253" s="556"/>
      <c r="J253" s="556"/>
      <c r="K253" s="556"/>
      <c r="L253" s="556"/>
      <c r="M253" s="556"/>
      <c r="N253" s="556"/>
      <c r="O253" s="556"/>
      <c r="P253" s="556"/>
      <c r="Q253" s="557"/>
      <c r="R253" s="558"/>
      <c r="S253" s="234">
        <f t="shared" si="19"/>
        <v>-1000</v>
      </c>
      <c r="T253" s="235">
        <f t="shared" si="20"/>
        <v>-1</v>
      </c>
      <c r="U253" s="234">
        <f t="shared" si="21"/>
        <v>0</v>
      </c>
      <c r="V253" s="234">
        <f t="shared" si="22"/>
        <v>-1410</v>
      </c>
      <c r="W253" s="235">
        <f t="shared" si="23"/>
        <v>-1</v>
      </c>
      <c r="X253" s="235"/>
      <c r="Y253" s="141"/>
      <c r="Z253" s="35"/>
    </row>
    <row r="254" spans="1:26" ht="14.1" customHeight="1" thickTop="1" x14ac:dyDescent="0.25">
      <c r="A254" s="103"/>
      <c r="B254" s="150"/>
      <c r="C254" s="644"/>
      <c r="D254" s="655"/>
      <c r="E254" s="656"/>
      <c r="F254" s="791"/>
      <c r="G254" s="791"/>
      <c r="H254" s="556"/>
      <c r="I254" s="556"/>
      <c r="J254" s="556"/>
      <c r="K254" s="556"/>
      <c r="L254" s="556"/>
      <c r="M254" s="556"/>
      <c r="N254" s="556"/>
      <c r="O254" s="556"/>
      <c r="P254" s="556"/>
      <c r="Q254" s="557"/>
      <c r="R254" s="558"/>
      <c r="S254" s="234"/>
      <c r="T254" s="235"/>
      <c r="U254" s="234"/>
      <c r="V254" s="234"/>
      <c r="W254" s="235"/>
      <c r="X254" s="235"/>
      <c r="Y254" s="141"/>
      <c r="Z254" s="35"/>
    </row>
    <row r="255" spans="1:26" ht="14.1" customHeight="1" x14ac:dyDescent="0.25">
      <c r="A255" s="103"/>
      <c r="B255" s="150"/>
      <c r="C255" s="480"/>
      <c r="D255" s="499"/>
      <c r="E255" s="485"/>
      <c r="F255" s="791"/>
      <c r="G255" s="791"/>
      <c r="H255" s="556"/>
      <c r="I255" s="556"/>
      <c r="J255" s="556"/>
      <c r="K255" s="556"/>
      <c r="L255" s="556"/>
      <c r="M255" s="556"/>
      <c r="N255" s="556"/>
      <c r="O255" s="556"/>
      <c r="P255" s="556"/>
      <c r="Q255" s="557"/>
      <c r="R255" s="601"/>
      <c r="S255" s="222"/>
      <c r="T255" s="228"/>
      <c r="U255" s="222"/>
      <c r="V255" s="222"/>
      <c r="W255" s="228"/>
      <c r="X255" s="228"/>
      <c r="Y255" s="141"/>
      <c r="Z255" s="35"/>
    </row>
    <row r="256" spans="1:26" ht="14.1" customHeight="1" thickBot="1" x14ac:dyDescent="0.3">
      <c r="A256" s="180"/>
      <c r="B256" s="181" t="s">
        <v>53</v>
      </c>
      <c r="C256" s="610"/>
      <c r="D256" s="611"/>
      <c r="E256" s="612"/>
      <c r="F256" s="810">
        <f>F106+F189+F202+F220+F229+F237+F246+F253</f>
        <v>477480.40464999998</v>
      </c>
      <c r="G256" s="810">
        <f>SUM(G106,G189,G202,G220,G229,G237,G246,G253)</f>
        <v>673247.37055650004</v>
      </c>
      <c r="H256" s="556"/>
      <c r="I256" s="556"/>
      <c r="J256" s="556"/>
      <c r="K256" s="556"/>
      <c r="L256" s="556"/>
      <c r="M256" s="556"/>
      <c r="N256" s="556"/>
      <c r="O256" s="556"/>
      <c r="P256" s="556"/>
      <c r="Q256" s="557"/>
      <c r="R256" s="558"/>
      <c r="S256" s="614">
        <f t="shared" si="19"/>
        <v>-477480.40464999998</v>
      </c>
      <c r="T256" s="615">
        <f t="shared" si="20"/>
        <v>-1</v>
      </c>
      <c r="U256" s="614">
        <f t="shared" si="21"/>
        <v>0</v>
      </c>
      <c r="V256" s="614">
        <f t="shared" si="22"/>
        <v>-673247.37055650004</v>
      </c>
      <c r="W256" s="615">
        <f t="shared" si="23"/>
        <v>-1</v>
      </c>
      <c r="X256" s="747"/>
      <c r="Y256" s="153"/>
      <c r="Z256" s="35"/>
    </row>
    <row r="257" spans="1:26" ht="14.1" customHeight="1" thickTop="1" x14ac:dyDescent="0.25">
      <c r="A257" s="74"/>
      <c r="B257" s="91"/>
      <c r="C257" s="443"/>
      <c r="D257" s="444"/>
      <c r="E257" s="445"/>
      <c r="F257" s="795"/>
      <c r="G257" s="76"/>
      <c r="H257" s="239"/>
      <c r="I257" s="239"/>
      <c r="J257" s="239"/>
      <c r="K257" s="239"/>
      <c r="L257" s="239"/>
      <c r="M257" s="239"/>
      <c r="N257" s="239"/>
      <c r="O257" s="239"/>
      <c r="P257" s="239"/>
      <c r="Q257" s="250"/>
      <c r="R257" s="256"/>
      <c r="S257" s="222"/>
      <c r="T257" s="228"/>
      <c r="U257" s="222"/>
      <c r="V257" s="222"/>
      <c r="W257" s="228"/>
      <c r="X257" s="228"/>
      <c r="Y257" s="141"/>
      <c r="Z257" s="35"/>
    </row>
    <row r="258" spans="1:26" ht="14.1" customHeight="1" x14ac:dyDescent="0.25">
      <c r="A258" s="74" t="s">
        <v>61</v>
      </c>
      <c r="B258" s="35"/>
      <c r="C258" s="443"/>
      <c r="D258" s="444"/>
      <c r="E258" s="445"/>
      <c r="F258" s="795"/>
      <c r="G258" s="76"/>
      <c r="H258" s="239"/>
      <c r="I258" s="239"/>
      <c r="J258" s="239"/>
      <c r="K258" s="239"/>
      <c r="L258" s="239"/>
      <c r="M258" s="239"/>
      <c r="N258" s="239"/>
      <c r="O258" s="239"/>
      <c r="P258" s="239"/>
      <c r="Q258" s="250"/>
      <c r="R258" s="256"/>
      <c r="S258" s="222"/>
      <c r="T258" s="228"/>
      <c r="U258" s="222"/>
      <c r="V258" s="222"/>
      <c r="W258" s="228"/>
      <c r="X258" s="228"/>
      <c r="Y258" s="141"/>
      <c r="Z258" s="35"/>
    </row>
    <row r="259" spans="1:26" ht="14.1" customHeight="1" x14ac:dyDescent="0.25">
      <c r="A259" s="74" t="s">
        <v>18</v>
      </c>
      <c r="B259" s="185" t="s">
        <v>9</v>
      </c>
      <c r="C259" s="443"/>
      <c r="D259" s="444"/>
      <c r="E259" s="445"/>
      <c r="F259" s="795"/>
      <c r="G259" s="76"/>
      <c r="H259" s="239"/>
      <c r="I259" s="239"/>
      <c r="J259" s="239"/>
      <c r="K259" s="239"/>
      <c r="L259" s="239"/>
      <c r="M259" s="239"/>
      <c r="N259" s="239"/>
      <c r="O259" s="239"/>
      <c r="P259" s="239"/>
      <c r="Q259" s="250"/>
      <c r="R259" s="256"/>
      <c r="S259" s="222"/>
      <c r="T259" s="228"/>
      <c r="U259" s="222"/>
      <c r="V259" s="222"/>
      <c r="W259" s="228"/>
      <c r="X259" s="228"/>
      <c r="Y259" s="141"/>
      <c r="Z259" s="35"/>
    </row>
    <row r="260" spans="1:26" ht="14.1" customHeight="1" x14ac:dyDescent="0.25">
      <c r="A260" s="74"/>
      <c r="B260" s="153" t="s">
        <v>902</v>
      </c>
      <c r="C260" s="687" t="s">
        <v>742</v>
      </c>
      <c r="D260" s="688">
        <v>12</v>
      </c>
      <c r="E260" s="689">
        <f>4633*0.234</f>
        <v>1084.1220000000001</v>
      </c>
      <c r="F260" s="139">
        <f>D260*E260</f>
        <v>13009.464</v>
      </c>
      <c r="G260" s="123">
        <f>F260*C$4</f>
        <v>18343.344239999999</v>
      </c>
      <c r="H260" s="239"/>
      <c r="I260" s="239"/>
      <c r="J260" s="239"/>
      <c r="K260" s="239"/>
      <c r="L260" s="239"/>
      <c r="M260" s="239"/>
      <c r="N260" s="239"/>
      <c r="O260" s="239"/>
      <c r="P260" s="239"/>
      <c r="Q260" s="250"/>
      <c r="R260" s="261"/>
      <c r="S260" s="222">
        <f t="shared" si="19"/>
        <v>-13009.464</v>
      </c>
      <c r="T260" s="228">
        <f t="shared" si="20"/>
        <v>-1</v>
      </c>
      <c r="U260" s="222">
        <f t="shared" si="21"/>
        <v>0</v>
      </c>
      <c r="V260" s="222">
        <f t="shared" si="22"/>
        <v>-18343.344239999999</v>
      </c>
      <c r="W260" s="228">
        <f t="shared" si="23"/>
        <v>-1</v>
      </c>
      <c r="X260" s="228"/>
      <c r="Y260" s="141"/>
      <c r="Z260" s="35"/>
    </row>
    <row r="261" spans="1:26" ht="14.1" customHeight="1" x14ac:dyDescent="0.25">
      <c r="A261" s="74"/>
      <c r="B261" s="153" t="s">
        <v>901</v>
      </c>
      <c r="C261" s="687" t="s">
        <v>742</v>
      </c>
      <c r="D261" s="688">
        <v>12</v>
      </c>
      <c r="E261" s="689">
        <f>4095*0.2333</f>
        <v>955.36350000000004</v>
      </c>
      <c r="F261" s="139">
        <f>D261*E261</f>
        <v>11464.362000000001</v>
      </c>
      <c r="G261" s="123">
        <f>F261*C$4</f>
        <v>16164.75042</v>
      </c>
      <c r="H261" s="239"/>
      <c r="I261" s="239"/>
      <c r="J261" s="239"/>
      <c r="K261" s="239"/>
      <c r="L261" s="239"/>
      <c r="M261" s="239"/>
      <c r="N261" s="239"/>
      <c r="O261" s="239"/>
      <c r="P261" s="239"/>
      <c r="Q261" s="250"/>
      <c r="R261" s="261"/>
      <c r="S261" s="222">
        <f t="shared" si="19"/>
        <v>-11464.362000000001</v>
      </c>
      <c r="T261" s="228">
        <f t="shared" si="20"/>
        <v>-1</v>
      </c>
      <c r="U261" s="222">
        <f t="shared" si="21"/>
        <v>0</v>
      </c>
      <c r="V261" s="222">
        <f t="shared" si="22"/>
        <v>-16164.75042</v>
      </c>
      <c r="W261" s="228">
        <f t="shared" si="23"/>
        <v>-1</v>
      </c>
      <c r="X261" s="228"/>
      <c r="Y261" s="141"/>
      <c r="Z261" s="35"/>
    </row>
    <row r="262" spans="1:26" ht="14.1" customHeight="1" x14ac:dyDescent="0.25">
      <c r="A262" s="74"/>
      <c r="B262" s="141" t="s">
        <v>835</v>
      </c>
      <c r="C262" s="687" t="s">
        <v>742</v>
      </c>
      <c r="D262" s="688">
        <v>12</v>
      </c>
      <c r="E262" s="689">
        <f>1999*0.2</f>
        <v>399.8</v>
      </c>
      <c r="F262" s="139">
        <f>D262*E262</f>
        <v>4797.6000000000004</v>
      </c>
      <c r="G262" s="123">
        <f>F262*C$4</f>
        <v>6764.616</v>
      </c>
      <c r="H262" s="239"/>
      <c r="I262" s="239"/>
      <c r="J262" s="239"/>
      <c r="K262" s="239"/>
      <c r="L262" s="239"/>
      <c r="M262" s="239"/>
      <c r="N262" s="239"/>
      <c r="O262" s="239"/>
      <c r="P262" s="239"/>
      <c r="Q262" s="250"/>
      <c r="R262" s="261"/>
      <c r="S262" s="222"/>
      <c r="T262" s="228"/>
      <c r="U262" s="222"/>
      <c r="V262" s="222"/>
      <c r="W262" s="228"/>
      <c r="X262" s="228"/>
      <c r="Y262" s="141"/>
      <c r="Z262" s="35"/>
    </row>
    <row r="263" spans="1:26" ht="14.1" customHeight="1" x14ac:dyDescent="0.25">
      <c r="A263" s="74"/>
      <c r="B263" s="744" t="s">
        <v>63</v>
      </c>
      <c r="C263" s="687" t="s">
        <v>742</v>
      </c>
      <c r="D263" s="688">
        <v>12</v>
      </c>
      <c r="E263" s="689">
        <f>488.257142857143*7</f>
        <v>3417.8000000000011</v>
      </c>
      <c r="F263" s="139">
        <f>D263*E263</f>
        <v>41013.600000000013</v>
      </c>
      <c r="G263" s="76">
        <f>F263*C4</f>
        <v>57829.176000000014</v>
      </c>
      <c r="H263" s="239"/>
      <c r="I263" s="239"/>
      <c r="J263" s="239"/>
      <c r="K263" s="239"/>
      <c r="L263" s="239"/>
      <c r="M263" s="239"/>
      <c r="N263" s="239"/>
      <c r="O263" s="239"/>
      <c r="P263" s="239"/>
      <c r="Q263" s="250"/>
      <c r="R263" s="261"/>
      <c r="S263" s="222">
        <f t="shared" si="19"/>
        <v>-41013.600000000013</v>
      </c>
      <c r="T263" s="228">
        <f t="shared" si="20"/>
        <v>-1</v>
      </c>
      <c r="U263" s="222">
        <f t="shared" si="21"/>
        <v>0</v>
      </c>
      <c r="V263" s="222">
        <f t="shared" si="22"/>
        <v>-57829.176000000014</v>
      </c>
      <c r="W263" s="228">
        <f t="shared" si="23"/>
        <v>-1</v>
      </c>
      <c r="X263" s="228"/>
      <c r="Y263" s="141"/>
      <c r="Z263" s="35"/>
    </row>
    <row r="264" spans="1:26" ht="14.1" customHeight="1" x14ac:dyDescent="0.25">
      <c r="A264" s="74"/>
      <c r="B264" s="186" t="s">
        <v>39</v>
      </c>
      <c r="C264" s="602"/>
      <c r="D264" s="603"/>
      <c r="E264" s="604"/>
      <c r="F264" s="795"/>
      <c r="G264" s="76"/>
      <c r="H264" s="239"/>
      <c r="I264" s="239"/>
      <c r="J264" s="239"/>
      <c r="K264" s="239"/>
      <c r="L264" s="239"/>
      <c r="M264" s="239"/>
      <c r="N264" s="239"/>
      <c r="O264" s="239"/>
      <c r="P264" s="239"/>
      <c r="Q264" s="250"/>
      <c r="R264" s="256"/>
      <c r="S264" s="222"/>
      <c r="T264" s="228"/>
      <c r="U264" s="222"/>
      <c r="V264" s="222"/>
      <c r="W264" s="228"/>
      <c r="X264" s="228"/>
      <c r="Y264" s="141"/>
      <c r="Z264" s="35"/>
    </row>
    <row r="265" spans="1:26" ht="14.1" customHeight="1" x14ac:dyDescent="0.25">
      <c r="A265" s="74"/>
      <c r="B265" s="141" t="s">
        <v>40</v>
      </c>
      <c r="C265" s="687" t="s">
        <v>520</v>
      </c>
      <c r="D265" s="688">
        <v>12</v>
      </c>
      <c r="E265" s="689">
        <f>1906*0.2</f>
        <v>381.20000000000005</v>
      </c>
      <c r="F265" s="795">
        <f>D265*E265</f>
        <v>4574.4000000000005</v>
      </c>
      <c r="G265" s="76">
        <f>F265*C4</f>
        <v>6449.9040000000005</v>
      </c>
      <c r="H265" s="239"/>
      <c r="I265" s="239"/>
      <c r="J265" s="239"/>
      <c r="K265" s="239"/>
      <c r="L265" s="239"/>
      <c r="M265" s="239"/>
      <c r="N265" s="239"/>
      <c r="O265" s="239"/>
      <c r="P265" s="239"/>
      <c r="Q265" s="250"/>
      <c r="R265" s="261"/>
      <c r="S265" s="222">
        <f t="shared" si="19"/>
        <v>-4574.4000000000005</v>
      </c>
      <c r="T265" s="228">
        <f t="shared" si="20"/>
        <v>-1</v>
      </c>
      <c r="U265" s="222">
        <f t="shared" si="21"/>
        <v>0</v>
      </c>
      <c r="V265" s="222">
        <f t="shared" si="22"/>
        <v>-6449.9040000000005</v>
      </c>
      <c r="W265" s="228">
        <f t="shared" si="23"/>
        <v>-1</v>
      </c>
      <c r="X265" s="228"/>
      <c r="Y265" s="141"/>
      <c r="Z265" s="35"/>
    </row>
    <row r="266" spans="1:26" ht="14.1" customHeight="1" x14ac:dyDescent="0.25">
      <c r="A266" s="74"/>
      <c r="B266" s="141" t="s">
        <v>41</v>
      </c>
      <c r="C266" s="687" t="s">
        <v>520</v>
      </c>
      <c r="D266" s="688">
        <v>12</v>
      </c>
      <c r="E266" s="689">
        <f>500*0.2</f>
        <v>100</v>
      </c>
      <c r="F266" s="795">
        <f>D266*E266</f>
        <v>1200</v>
      </c>
      <c r="G266" s="76">
        <f>F266*C4</f>
        <v>1692</v>
      </c>
      <c r="H266" s="239"/>
      <c r="I266" s="239"/>
      <c r="J266" s="239"/>
      <c r="K266" s="239"/>
      <c r="L266" s="239"/>
      <c r="M266" s="239"/>
      <c r="N266" s="239"/>
      <c r="O266" s="239"/>
      <c r="P266" s="239"/>
      <c r="Q266" s="250"/>
      <c r="R266" s="261"/>
      <c r="S266" s="222">
        <f t="shared" si="19"/>
        <v>-1200</v>
      </c>
      <c r="T266" s="228">
        <f t="shared" si="20"/>
        <v>-1</v>
      </c>
      <c r="U266" s="222">
        <f t="shared" si="21"/>
        <v>0</v>
      </c>
      <c r="V266" s="222">
        <f t="shared" si="22"/>
        <v>-1692</v>
      </c>
      <c r="W266" s="228">
        <f t="shared" si="23"/>
        <v>-1</v>
      </c>
      <c r="X266" s="228"/>
      <c r="Y266" s="141"/>
      <c r="Z266" s="35"/>
    </row>
    <row r="267" spans="1:26" ht="14.1" customHeight="1" x14ac:dyDescent="0.25">
      <c r="A267" s="74"/>
      <c r="B267" s="141" t="s">
        <v>42</v>
      </c>
      <c r="C267" s="687" t="s">
        <v>520</v>
      </c>
      <c r="D267" s="688">
        <v>12</v>
      </c>
      <c r="E267" s="689">
        <f>1050*0.2</f>
        <v>210</v>
      </c>
      <c r="F267" s="795">
        <f>D267*E267</f>
        <v>2520</v>
      </c>
      <c r="G267" s="76">
        <f>F267*C4</f>
        <v>3553.2</v>
      </c>
      <c r="H267" s="239"/>
      <c r="I267" s="239"/>
      <c r="J267" s="239"/>
      <c r="K267" s="239"/>
      <c r="L267" s="239"/>
      <c r="M267" s="239"/>
      <c r="N267" s="239"/>
      <c r="O267" s="239"/>
      <c r="P267" s="239"/>
      <c r="Q267" s="250"/>
      <c r="R267" s="261"/>
      <c r="S267" s="222">
        <f t="shared" si="19"/>
        <v>-2520</v>
      </c>
      <c r="T267" s="228">
        <f t="shared" si="20"/>
        <v>-1</v>
      </c>
      <c r="U267" s="222">
        <f t="shared" si="21"/>
        <v>0</v>
      </c>
      <c r="V267" s="222">
        <f t="shared" si="22"/>
        <v>-3553.2</v>
      </c>
      <c r="W267" s="228">
        <f t="shared" si="23"/>
        <v>-1</v>
      </c>
      <c r="X267" s="228"/>
      <c r="Y267" s="141"/>
      <c r="Z267" s="35"/>
    </row>
    <row r="268" spans="1:26" ht="14.1" customHeight="1" x14ac:dyDescent="0.25">
      <c r="A268" s="74"/>
      <c r="B268" s="186" t="s">
        <v>43</v>
      </c>
      <c r="C268" s="602"/>
      <c r="D268" s="603"/>
      <c r="E268" s="604"/>
      <c r="F268" s="795"/>
      <c r="G268" s="76"/>
      <c r="H268" s="239"/>
      <c r="I268" s="239"/>
      <c r="J268" s="239"/>
      <c r="K268" s="239"/>
      <c r="L268" s="239"/>
      <c r="M268" s="239"/>
      <c r="N268" s="239"/>
      <c r="O268" s="239"/>
      <c r="P268" s="239"/>
      <c r="Q268" s="250"/>
      <c r="R268" s="256"/>
      <c r="S268" s="222"/>
      <c r="T268" s="228"/>
      <c r="U268" s="222"/>
      <c r="V268" s="222"/>
      <c r="W268" s="228"/>
      <c r="X268" s="228"/>
      <c r="Y268" s="141"/>
      <c r="Z268" s="35"/>
    </row>
    <row r="269" spans="1:26" ht="14.1" customHeight="1" x14ac:dyDescent="0.25">
      <c r="A269" s="74"/>
      <c r="B269" s="141" t="s">
        <v>44</v>
      </c>
      <c r="C269" s="687" t="s">
        <v>520</v>
      </c>
      <c r="D269" s="688">
        <v>12</v>
      </c>
      <c r="E269" s="689">
        <f>900*0.2</f>
        <v>180</v>
      </c>
      <c r="F269" s="795">
        <f>D269*E269</f>
        <v>2160</v>
      </c>
      <c r="G269" s="76">
        <f>F269*C4</f>
        <v>3045.6</v>
      </c>
      <c r="H269" s="239"/>
      <c r="I269" s="239"/>
      <c r="J269" s="239"/>
      <c r="K269" s="239"/>
      <c r="L269" s="239"/>
      <c r="M269" s="239"/>
      <c r="N269" s="239"/>
      <c r="O269" s="239"/>
      <c r="P269" s="239"/>
      <c r="Q269" s="250"/>
      <c r="R269" s="261"/>
      <c r="S269" s="222">
        <f t="shared" si="19"/>
        <v>-2160</v>
      </c>
      <c r="T269" s="228">
        <f t="shared" si="20"/>
        <v>-1</v>
      </c>
      <c r="U269" s="222">
        <f t="shared" si="21"/>
        <v>0</v>
      </c>
      <c r="V269" s="222">
        <f t="shared" si="22"/>
        <v>-3045.6</v>
      </c>
      <c r="W269" s="228">
        <f t="shared" si="23"/>
        <v>-1</v>
      </c>
      <c r="X269" s="228"/>
      <c r="Y269" s="141"/>
      <c r="Z269" s="35"/>
    </row>
    <row r="270" spans="1:26" ht="14.1" customHeight="1" x14ac:dyDescent="0.25">
      <c r="A270" s="74"/>
      <c r="B270" s="186" t="s">
        <v>45</v>
      </c>
      <c r="C270" s="5"/>
      <c r="D270" s="5"/>
      <c r="E270" s="5"/>
      <c r="F270" s="795"/>
      <c r="G270" s="76"/>
      <c r="H270" s="239"/>
      <c r="I270" s="239"/>
      <c r="J270" s="239"/>
      <c r="K270" s="239"/>
      <c r="L270" s="239"/>
      <c r="M270" s="239"/>
      <c r="N270" s="239"/>
      <c r="O270" s="239"/>
      <c r="P270" s="239"/>
      <c r="Q270" s="250"/>
      <c r="R270" s="256"/>
      <c r="S270" s="222"/>
      <c r="T270" s="228"/>
      <c r="U270" s="222"/>
      <c r="V270" s="222"/>
      <c r="W270" s="228"/>
      <c r="X270" s="228"/>
      <c r="Y270" s="141"/>
      <c r="Z270" s="35"/>
    </row>
    <row r="271" spans="1:26" ht="14.1" customHeight="1" x14ac:dyDescent="0.25">
      <c r="A271" s="74"/>
      <c r="B271" s="141" t="s">
        <v>836</v>
      </c>
      <c r="C271" s="687" t="s">
        <v>520</v>
      </c>
      <c r="D271" s="688">
        <v>1</v>
      </c>
      <c r="E271" s="689">
        <f>4760-2100</f>
        <v>2660</v>
      </c>
      <c r="F271" s="795">
        <f>D271*E271</f>
        <v>2660</v>
      </c>
      <c r="G271" s="76">
        <f>F271*C4</f>
        <v>3750.6</v>
      </c>
      <c r="H271" s="239"/>
      <c r="I271" s="239"/>
      <c r="J271" s="239"/>
      <c r="K271" s="239"/>
      <c r="L271" s="239"/>
      <c r="M271" s="239"/>
      <c r="N271" s="239"/>
      <c r="O271" s="239"/>
      <c r="P271" s="239"/>
      <c r="Q271" s="250"/>
      <c r="R271" s="261"/>
      <c r="S271" s="222">
        <f t="shared" si="19"/>
        <v>-2660</v>
      </c>
      <c r="T271" s="228">
        <f t="shared" si="20"/>
        <v>-1</v>
      </c>
      <c r="U271" s="222">
        <f t="shared" si="21"/>
        <v>0</v>
      </c>
      <c r="V271" s="222">
        <f t="shared" si="22"/>
        <v>-3750.6</v>
      </c>
      <c r="W271" s="228">
        <f t="shared" si="23"/>
        <v>-1</v>
      </c>
      <c r="X271" s="228"/>
      <c r="Y271" s="141"/>
      <c r="Z271" s="35"/>
    </row>
    <row r="272" spans="1:26" ht="14.1" customHeight="1" x14ac:dyDescent="0.25">
      <c r="A272" s="74"/>
      <c r="B272" s="153"/>
      <c r="C272" s="602"/>
      <c r="D272" s="603"/>
      <c r="E272" s="604"/>
      <c r="F272" s="795"/>
      <c r="G272" s="76"/>
      <c r="H272" s="239"/>
      <c r="I272" s="239"/>
      <c r="J272" s="239"/>
      <c r="K272" s="239"/>
      <c r="L272" s="239"/>
      <c r="M272" s="239"/>
      <c r="N272" s="239"/>
      <c r="O272" s="239"/>
      <c r="P272" s="239"/>
      <c r="Q272" s="250"/>
      <c r="R272" s="256"/>
      <c r="S272" s="222"/>
      <c r="T272" s="228"/>
      <c r="U272" s="222"/>
      <c r="V272" s="222"/>
      <c r="W272" s="228"/>
      <c r="X272" s="228"/>
      <c r="Y272" s="141"/>
      <c r="Z272" s="35"/>
    </row>
    <row r="273" spans="1:26" ht="14.1" customHeight="1" x14ac:dyDescent="0.25">
      <c r="A273" s="181"/>
      <c r="B273" s="181" t="s">
        <v>62</v>
      </c>
      <c r="C273" s="610"/>
      <c r="D273" s="611"/>
      <c r="E273" s="612"/>
      <c r="F273" s="111">
        <f>F271+F269+F267+F266+F265+F263+F262+F261+F260</f>
        <v>83399.426000000007</v>
      </c>
      <c r="G273" s="111">
        <f>SUM(G260:G271)</f>
        <v>117593.19066000002</v>
      </c>
      <c r="H273" s="582"/>
      <c r="I273" s="582"/>
      <c r="J273" s="582"/>
      <c r="K273" s="582"/>
      <c r="L273" s="582"/>
      <c r="M273" s="582"/>
      <c r="N273" s="582"/>
      <c r="O273" s="582"/>
      <c r="P273" s="582"/>
      <c r="Q273" s="583"/>
      <c r="R273" s="484"/>
      <c r="S273" s="614">
        <f t="shared" si="19"/>
        <v>-83399.426000000007</v>
      </c>
      <c r="T273" s="615">
        <f t="shared" si="20"/>
        <v>-1</v>
      </c>
      <c r="U273" s="614">
        <f t="shared" si="21"/>
        <v>0</v>
      </c>
      <c r="V273" s="614">
        <f t="shared" si="22"/>
        <v>-117593.19066000002</v>
      </c>
      <c r="W273" s="615">
        <f t="shared" si="23"/>
        <v>-1</v>
      </c>
      <c r="X273" s="615"/>
      <c r="Y273" s="141"/>
      <c r="Z273" s="35"/>
    </row>
    <row r="274" spans="1:26" ht="14.1" customHeight="1" x14ac:dyDescent="0.25">
      <c r="A274" s="150"/>
      <c r="B274" s="150"/>
      <c r="C274" s="480"/>
      <c r="D274" s="499"/>
      <c r="E274" s="485"/>
      <c r="F274" s="814">
        <f>(F273/F276)</f>
        <v>0.14869392950598517</v>
      </c>
      <c r="G274" s="814">
        <f>(G273/G276)</f>
        <v>0.14869392950598517</v>
      </c>
      <c r="H274" s="622"/>
      <c r="I274" s="623"/>
      <c r="J274" s="623"/>
      <c r="K274" s="623"/>
      <c r="L274" s="623"/>
      <c r="M274" s="623"/>
      <c r="N274" s="623"/>
      <c r="O274" s="623"/>
      <c r="P274" s="623"/>
      <c r="Q274" s="623"/>
      <c r="R274" s="624"/>
      <c r="S274" s="624"/>
      <c r="T274" s="624"/>
      <c r="U274" s="624"/>
      <c r="V274" s="624"/>
      <c r="W274" s="624"/>
      <c r="X274" s="624"/>
      <c r="Y274" s="141"/>
      <c r="Z274" s="35"/>
    </row>
    <row r="275" spans="1:26" ht="14.1" customHeight="1" x14ac:dyDescent="0.25">
      <c r="A275" s="150"/>
      <c r="B275" s="150"/>
      <c r="C275" s="480"/>
      <c r="D275" s="499"/>
      <c r="E275" s="485"/>
      <c r="F275" s="791"/>
      <c r="G275" s="791"/>
      <c r="H275" s="622"/>
      <c r="I275" s="623"/>
      <c r="J275" s="623"/>
      <c r="K275" s="623"/>
      <c r="L275" s="623"/>
      <c r="M275" s="623"/>
      <c r="N275" s="623"/>
      <c r="O275" s="623"/>
      <c r="P275" s="623"/>
      <c r="Q275" s="623"/>
      <c r="R275" s="624"/>
      <c r="S275" s="624"/>
      <c r="T275" s="624"/>
      <c r="U275" s="624"/>
      <c r="V275" s="624"/>
      <c r="W275" s="624"/>
      <c r="X275" s="624"/>
      <c r="Y275" s="141"/>
      <c r="Z275" s="35"/>
    </row>
    <row r="276" spans="1:26" ht="14.1" customHeight="1" thickBot="1" x14ac:dyDescent="0.3">
      <c r="A276" s="74"/>
      <c r="B276" s="74" t="s">
        <v>27</v>
      </c>
      <c r="C276" s="443"/>
      <c r="D276" s="444"/>
      <c r="E276" s="445"/>
      <c r="F276" s="811">
        <f>SUM(F256+F273)</f>
        <v>560879.83065000002</v>
      </c>
      <c r="G276" s="811">
        <f>SUM(G256+G273)</f>
        <v>790840.56121650012</v>
      </c>
      <c r="H276" s="556"/>
      <c r="I276" s="556"/>
      <c r="J276" s="556"/>
      <c r="K276" s="556"/>
      <c r="L276" s="556"/>
      <c r="M276" s="556"/>
      <c r="N276" s="556"/>
      <c r="O276" s="556"/>
      <c r="P276" s="556"/>
      <c r="Q276" s="556"/>
      <c r="R276" s="607"/>
      <c r="S276" s="607"/>
      <c r="T276" s="607"/>
      <c r="U276" s="607"/>
      <c r="V276" s="607"/>
      <c r="W276" s="607"/>
      <c r="X276" s="607"/>
      <c r="Y276" s="141"/>
      <c r="Z276" s="35"/>
    </row>
    <row r="277" spans="1:26" ht="14.1" customHeight="1" thickTop="1" x14ac:dyDescent="0.25">
      <c r="A277" s="74"/>
      <c r="B277" s="35"/>
      <c r="C277" s="443"/>
      <c r="D277" s="444"/>
      <c r="E277" s="445"/>
      <c r="F277" s="795"/>
      <c r="G277" s="795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"/>
      <c r="S277" s="1"/>
      <c r="T277" s="1"/>
      <c r="U277" s="1"/>
      <c r="V277" s="1"/>
      <c r="W277" s="1"/>
      <c r="X277" s="1"/>
      <c r="Z277" s="35"/>
    </row>
    <row r="278" spans="1:26" ht="14.1" customHeight="1" thickBot="1" x14ac:dyDescent="0.3">
      <c r="A278" s="74" t="s">
        <v>36</v>
      </c>
      <c r="B278" s="39"/>
      <c r="C278" s="443"/>
      <c r="D278" s="444"/>
      <c r="E278" s="445"/>
      <c r="F278" s="806">
        <f>F276*0.03</f>
        <v>16826.394919499999</v>
      </c>
      <c r="G278" s="806">
        <f>G276*0.03</f>
        <v>23725.216836495001</v>
      </c>
      <c r="H278" s="636"/>
      <c r="I278" s="636"/>
      <c r="J278" s="636"/>
      <c r="K278" s="636"/>
      <c r="L278" s="636"/>
      <c r="M278" s="636"/>
      <c r="N278" s="636"/>
      <c r="O278" s="636"/>
      <c r="P278" s="636"/>
      <c r="Q278" s="636"/>
      <c r="R278" s="637"/>
      <c r="S278" s="637"/>
      <c r="T278" s="637"/>
      <c r="U278" s="637"/>
      <c r="V278" s="637"/>
      <c r="W278" s="637"/>
      <c r="X278" s="637"/>
      <c r="Y278" s="141"/>
      <c r="Z278" s="35"/>
    </row>
    <row r="279" spans="1:26" ht="14.1" customHeight="1" x14ac:dyDescent="0.25">
      <c r="A279" s="74"/>
      <c r="B279" s="35"/>
      <c r="C279" s="443"/>
      <c r="D279" s="444"/>
      <c r="E279" s="445"/>
      <c r="F279" s="795"/>
      <c r="G279" s="76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141"/>
      <c r="Z279" s="35"/>
    </row>
    <row r="280" spans="1:26" ht="14.1" customHeight="1" thickBot="1" x14ac:dyDescent="0.3">
      <c r="A280" s="117"/>
      <c r="B280" s="117" t="s">
        <v>28</v>
      </c>
      <c r="C280" s="491"/>
      <c r="D280" s="628"/>
      <c r="E280" s="629"/>
      <c r="F280" s="790">
        <f>SUM(F278+F276)</f>
        <v>577706.22556950001</v>
      </c>
      <c r="G280" s="790">
        <f>SUM(G278+G276)</f>
        <v>814565.7780529951</v>
      </c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141"/>
      <c r="Z280" s="35"/>
    </row>
    <row r="281" spans="1:26" ht="14.1" customHeight="1" x14ac:dyDescent="0.25">
      <c r="A281" s="74"/>
      <c r="B281" s="35"/>
      <c r="C281" s="443"/>
      <c r="D281" s="444"/>
      <c r="E281" s="445"/>
      <c r="F281" s="795"/>
      <c r="G281" s="76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141"/>
      <c r="Z281" s="35"/>
    </row>
    <row r="282" spans="1:26" ht="14.1" customHeight="1" thickBot="1" x14ac:dyDescent="0.3">
      <c r="A282" s="191" t="s">
        <v>24</v>
      </c>
      <c r="B282" s="192"/>
      <c r="C282" s="632"/>
      <c r="D282" s="633"/>
      <c r="E282" s="634"/>
      <c r="F282" s="812">
        <f>SUM(F280-F74)</f>
        <v>577706.22556950001</v>
      </c>
      <c r="G282" s="812">
        <f>SUM(G280-G73)</f>
        <v>814565.7780529951</v>
      </c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141"/>
      <c r="Z282" s="35"/>
    </row>
    <row r="283" spans="1:26" ht="14.1" customHeight="1" thickTop="1" x14ac:dyDescent="0.25">
      <c r="A283" s="74"/>
      <c r="B283" s="35"/>
      <c r="C283" s="443"/>
      <c r="D283" s="444"/>
      <c r="E283" s="445"/>
      <c r="F283" s="165"/>
      <c r="G283" s="76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141"/>
      <c r="Z283" s="35"/>
    </row>
    <row r="284" spans="1:26" ht="14.1" customHeight="1" x14ac:dyDescent="0.25">
      <c r="A284" s="74"/>
      <c r="B284" s="35"/>
      <c r="C284" s="443"/>
      <c r="D284" s="444"/>
      <c r="E284" s="445"/>
      <c r="F284" s="165"/>
      <c r="G284" s="76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141"/>
      <c r="Z284" s="35"/>
    </row>
    <row r="285" spans="1:26" ht="14.1" customHeight="1" x14ac:dyDescent="0.25">
      <c r="A285" s="74"/>
      <c r="B285" s="35"/>
      <c r="C285" s="443"/>
      <c r="D285" s="444"/>
      <c r="E285" s="445"/>
      <c r="F285" s="165"/>
      <c r="G285" s="76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141"/>
      <c r="Z285" s="35"/>
    </row>
    <row r="286" spans="1:26" ht="14.1" customHeight="1" x14ac:dyDescent="0.25">
      <c r="A286" s="74"/>
      <c r="B286" s="35"/>
      <c r="C286" s="443"/>
      <c r="D286" s="444"/>
      <c r="E286" s="445"/>
      <c r="F286" s="165"/>
      <c r="G286" s="76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141"/>
      <c r="Z286" s="35"/>
    </row>
    <row r="287" spans="1:26" ht="14.1" customHeight="1" x14ac:dyDescent="0.25">
      <c r="A287" s="74"/>
      <c r="B287" s="35"/>
      <c r="C287" s="443"/>
      <c r="D287" s="444"/>
      <c r="E287" s="445"/>
      <c r="F287" s="165"/>
      <c r="G287" s="76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141"/>
      <c r="Z287" s="35"/>
    </row>
    <row r="288" spans="1:26" ht="14.1" customHeight="1" x14ac:dyDescent="0.25">
      <c r="A288" s="74"/>
      <c r="B288" s="35"/>
      <c r="C288" s="443"/>
      <c r="D288" s="444"/>
      <c r="E288" s="445"/>
      <c r="F288" s="165"/>
      <c r="G288" s="76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141"/>
      <c r="Z288" s="35"/>
    </row>
    <row r="289" spans="1:26" ht="14.1" customHeight="1" x14ac:dyDescent="0.25">
      <c r="A289" s="74" t="s">
        <v>15</v>
      </c>
      <c r="B289" s="35"/>
      <c r="C289" s="443"/>
      <c r="D289" s="444"/>
      <c r="E289" s="445"/>
      <c r="F289" s="165"/>
      <c r="G289" s="76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141"/>
      <c r="Z289" s="35"/>
    </row>
    <row r="290" spans="1:26" ht="14.1" customHeight="1" x14ac:dyDescent="0.25">
      <c r="A290" s="74"/>
      <c r="B290" s="35"/>
      <c r="C290" s="443"/>
      <c r="D290" s="444"/>
      <c r="E290" s="445"/>
      <c r="F290" s="165"/>
      <c r="G290" s="76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141"/>
      <c r="Z290" s="35"/>
    </row>
    <row r="291" spans="1:26" ht="14.1" customHeight="1" x14ac:dyDescent="0.4">
      <c r="A291" s="74"/>
      <c r="B291" s="197" t="s">
        <v>16</v>
      </c>
      <c r="C291" s="443"/>
      <c r="D291" s="639" t="s">
        <v>26</v>
      </c>
      <c r="E291" s="445"/>
      <c r="F291" s="872" t="s">
        <v>17</v>
      </c>
      <c r="G291" s="872"/>
      <c r="H291" s="199"/>
      <c r="I291" s="199"/>
      <c r="J291" s="199"/>
      <c r="K291" s="199"/>
      <c r="L291" s="199"/>
      <c r="M291" s="199"/>
      <c r="N291" s="199"/>
      <c r="O291" s="199"/>
      <c r="P291" s="199"/>
      <c r="Q291" s="199"/>
      <c r="R291" s="199"/>
      <c r="S291" s="199"/>
      <c r="T291" s="199"/>
      <c r="U291" s="199"/>
      <c r="V291" s="199"/>
      <c r="W291" s="199"/>
      <c r="X291" s="199"/>
      <c r="Y291" s="141"/>
      <c r="Z291" s="35"/>
    </row>
    <row r="292" spans="1:26" ht="14.1" customHeight="1" x14ac:dyDescent="0.25">
      <c r="A292" s="74"/>
      <c r="B292" s="81" t="s">
        <v>837</v>
      </c>
      <c r="C292" s="443"/>
      <c r="D292" s="669" t="s">
        <v>838</v>
      </c>
      <c r="E292" s="445"/>
      <c r="F292" s="165" t="s">
        <v>740</v>
      </c>
      <c r="G292" s="76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141"/>
      <c r="Z292" s="35"/>
    </row>
    <row r="293" spans="1:26" ht="14.1" customHeight="1" x14ac:dyDescent="0.25">
      <c r="A293" s="74"/>
      <c r="B293" s="81" t="s">
        <v>426</v>
      </c>
      <c r="C293" s="443"/>
      <c r="D293" s="669" t="s">
        <v>839</v>
      </c>
      <c r="E293" s="445"/>
      <c r="F293" s="165" t="s">
        <v>740</v>
      </c>
      <c r="G293" s="76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141"/>
      <c r="Z293" s="35"/>
    </row>
  </sheetData>
  <mergeCells count="3">
    <mergeCell ref="A1:G1"/>
    <mergeCell ref="H76:Q76"/>
    <mergeCell ref="F291:G291"/>
  </mergeCells>
  <conditionalFormatting sqref="F274:X275">
    <cfRule type="cellIs" dxfId="3" priority="1" stopIfTrue="1" operator="greaterThan">
      <formula>15</formula>
    </cfRule>
  </conditionalFormatting>
  <pageMargins left="0.7" right="0.7" top="0.75" bottom="0.75" header="0.3" footer="0.3"/>
  <pageSetup paperSize="9" scale="33" fitToHeight="2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Consolidated</vt:lpstr>
      <vt:lpstr>Summary</vt:lpstr>
      <vt:lpstr>DSPR- J</vt:lpstr>
      <vt:lpstr>DSPR-L</vt:lpstr>
      <vt:lpstr>HEKS-L</vt:lpstr>
      <vt:lpstr>IOCC-J</vt:lpstr>
      <vt:lpstr>IOCC-L</vt:lpstr>
      <vt:lpstr>IOCC-S</vt:lpstr>
      <vt:lpstr>LWF-J</vt:lpstr>
      <vt:lpstr>LWF-S</vt:lpstr>
      <vt:lpstr>MECC-S</vt:lpstr>
      <vt:lpstr>MECC-L</vt:lpstr>
      <vt:lpstr>Sheet1</vt:lpstr>
      <vt:lpstr>Consolidated!Print_Area</vt:lpstr>
      <vt:lpstr>'DSPR- J'!Print_Area</vt:lpstr>
      <vt:lpstr>'DSPR-L'!Print_Area</vt:lpstr>
      <vt:lpstr>'HEKS-L'!Print_Area</vt:lpstr>
      <vt:lpstr>'IOCC-J'!Print_Area</vt:lpstr>
      <vt:lpstr>'IOCC-S'!Print_Area</vt:lpstr>
      <vt:lpstr>Consolidated!Print_Titles</vt:lpstr>
      <vt:lpstr>'DSPR- J'!Print_Titles</vt:lpstr>
      <vt:lpstr>'DSPR-L'!Print_Titles</vt:lpstr>
      <vt:lpstr>'HEKS-L'!Print_Titles</vt:lpstr>
      <vt:lpstr>'IOCC-J'!Print_Titles</vt:lpstr>
      <vt:lpstr>'IOCC-S'!Print_Titles</vt:lpstr>
    </vt:vector>
  </TitlesOfParts>
  <Company>World Council of Churches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hma</dc:creator>
  <cp:lastModifiedBy>Lorenzo Correa</cp:lastModifiedBy>
  <cp:lastPrinted>2018-10-16T14:28:36Z</cp:lastPrinted>
  <dcterms:created xsi:type="dcterms:W3CDTF">2000-05-24T09:55:44Z</dcterms:created>
  <dcterms:modified xsi:type="dcterms:W3CDTF">2018-12-07T09:21:08Z</dcterms:modified>
</cp:coreProperties>
</file>